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20" yWindow="620" windowWidth="14990" windowHeight="6560" tabRatio="921"/>
  </bookViews>
  <sheets>
    <sheet name="Projection Distortion" sheetId="17" r:id="rId1"/>
    <sheet name="Map Perimeter Measurements" sheetId="63" r:id="rId2"/>
    <sheet name="Projection Parameters" sheetId="42" r:id="rId3"/>
    <sheet name="Map Perimeter Metadata" sheetId="64" r:id="rId4"/>
  </sheets>
  <calcPr calcId="145621"/>
</workbook>
</file>

<file path=xl/calcChain.xml><?xml version="1.0" encoding="utf-8"?>
<calcChain xmlns="http://schemas.openxmlformats.org/spreadsheetml/2006/main">
  <c r="C23" i="17" l="1"/>
  <c r="B15" i="42"/>
  <c r="T15" i="17"/>
  <c r="T16" i="17"/>
  <c r="T12" i="17"/>
  <c r="C16" i="42"/>
  <c r="T7" i="17"/>
  <c r="B16" i="42"/>
  <c r="T9" i="17"/>
  <c r="T6" i="17"/>
  <c r="C9" i="42"/>
  <c r="M18" i="17"/>
  <c r="C8" i="42"/>
  <c r="T10" i="17"/>
  <c r="T13" i="17"/>
  <c r="C38" i="17" l="1"/>
  <c r="N5" i="17"/>
  <c r="O5" i="17"/>
  <c r="R17" i="17"/>
  <c r="P17" i="17"/>
  <c r="Q17" i="17"/>
  <c r="O2" i="17" l="1"/>
  <c r="C14" i="42"/>
  <c r="W15" i="17"/>
  <c r="W16" i="17"/>
  <c r="W10" i="17"/>
  <c r="N3" i="17"/>
  <c r="P3" i="17"/>
  <c r="C15" i="42"/>
  <c r="N17" i="17"/>
  <c r="O17" i="17"/>
  <c r="C12" i="42" l="1"/>
  <c r="C11" i="42"/>
  <c r="W6" i="17"/>
  <c r="W12" i="17"/>
  <c r="W13" i="17"/>
  <c r="W9" i="17"/>
  <c r="W7" i="17"/>
  <c r="B8" i="17"/>
  <c r="B10" i="17"/>
  <c r="B13" i="17"/>
  <c r="D13" i="17"/>
  <c r="D10" i="17"/>
  <c r="D8" i="17"/>
  <c r="D5" i="17"/>
  <c r="B5" i="17"/>
  <c r="D6" i="17" l="1"/>
  <c r="B6" i="17"/>
  <c r="D12" i="17"/>
  <c r="B12" i="17"/>
  <c r="M19" i="17" a="1"/>
  <c r="M19" i="17" l="1"/>
  <c r="K18" i="17" s="1"/>
  <c r="M13" i="17"/>
  <c r="M7" i="17"/>
  <c r="M14" i="17"/>
  <c r="M8" i="17"/>
  <c r="M15" i="17"/>
  <c r="O13" i="17" a="1"/>
  <c r="O15" i="17" a="1"/>
  <c r="O16" i="17" a="1"/>
  <c r="O12" i="17" a="1"/>
  <c r="O13" i="17" l="1"/>
  <c r="O16" i="17"/>
  <c r="O12" i="17"/>
  <c r="O15" i="17"/>
  <c r="M9" i="17"/>
  <c r="N13" i="17" a="1"/>
  <c r="N10" i="17" a="1"/>
  <c r="N9" i="17" a="1"/>
  <c r="N6" i="17" a="1"/>
  <c r="N7" i="17" a="1"/>
  <c r="N15" i="17" a="1"/>
  <c r="N16" i="17" a="1"/>
  <c r="N12" i="17" a="1"/>
  <c r="N9" i="17" l="1"/>
  <c r="N7" i="17"/>
  <c r="N10" i="17"/>
  <c r="N6" i="17"/>
  <c r="N15" i="17"/>
  <c r="N12" i="17"/>
  <c r="N16" i="17"/>
  <c r="N13" i="17"/>
  <c r="O9" i="17" a="1"/>
  <c r="O7" i="17" a="1"/>
  <c r="O6" i="17" a="1"/>
  <c r="O10" i="17" a="1"/>
  <c r="K15" i="17" a="1"/>
  <c r="K12" i="17" a="1"/>
  <c r="K13" i="17" a="1"/>
  <c r="K16" i="17" a="1"/>
  <c r="O10" i="17" l="1"/>
  <c r="O7" i="17"/>
  <c r="O6" i="17"/>
  <c r="O9" i="17"/>
  <c r="K13" i="17"/>
  <c r="K16" i="17"/>
  <c r="K12" i="17"/>
  <c r="K15" i="17"/>
  <c r="M12" i="17"/>
  <c r="B15" i="63" s="1"/>
  <c r="M16" i="17"/>
  <c r="B18" i="63" s="1"/>
  <c r="P15" i="17"/>
  <c r="Q13" i="17"/>
  <c r="P13" i="17"/>
  <c r="P16" i="17"/>
  <c r="Q16" i="17"/>
  <c r="Q15" i="17"/>
  <c r="P12" i="17"/>
  <c r="Q12" i="17"/>
  <c r="K10" i="17" a="1"/>
  <c r="K7" i="17" a="1"/>
  <c r="K6" i="17" a="1"/>
  <c r="K9" i="17" a="1"/>
  <c r="M10" i="17" l="1"/>
  <c r="B12" i="63" s="1"/>
  <c r="M6" i="17"/>
  <c r="B9" i="63" s="1"/>
  <c r="K9" i="17"/>
  <c r="K6" i="17"/>
  <c r="K7" i="17"/>
  <c r="K10" i="17"/>
  <c r="F5" i="17"/>
  <c r="V6" i="17" s="1"/>
  <c r="X6" i="17" s="1"/>
  <c r="G12" i="17"/>
  <c r="H13" i="17"/>
  <c r="V10" i="17" s="1"/>
  <c r="X10" i="17" s="1"/>
  <c r="H9" i="17"/>
  <c r="H10" i="17"/>
  <c r="V16" i="17" s="1"/>
  <c r="X16" i="17" s="1"/>
  <c r="F9" i="17"/>
  <c r="F10" i="17"/>
  <c r="V13" i="17" s="1"/>
  <c r="X13" i="17" s="1"/>
  <c r="H8" i="17"/>
  <c r="V15" i="17" s="1"/>
  <c r="X15" i="17" s="1"/>
  <c r="F8" i="17"/>
  <c r="G6" i="17"/>
  <c r="H5" i="17"/>
  <c r="F13" i="17"/>
  <c r="Q9" i="17"/>
  <c r="P9" i="17"/>
  <c r="P6" i="17"/>
  <c r="Q6" i="17"/>
  <c r="P7" i="17"/>
  <c r="Q7" i="17"/>
  <c r="P10" i="17"/>
  <c r="Q10" i="17"/>
  <c r="R12" i="17"/>
  <c r="R9" i="17"/>
  <c r="R6" i="17"/>
  <c r="R15" i="17"/>
  <c r="F6" i="17" l="1"/>
  <c r="B19" i="17" s="1"/>
  <c r="B35" i="17" s="1"/>
  <c r="H6" i="17"/>
  <c r="D19" i="17" s="1"/>
  <c r="D35" i="17" s="1"/>
  <c r="V7" i="17"/>
  <c r="X7" i="17" s="1"/>
  <c r="H12" i="17"/>
  <c r="D25" i="17" s="1"/>
  <c r="D41" i="17" s="1"/>
  <c r="F12" i="17"/>
  <c r="B25" i="17" s="1"/>
  <c r="B41" i="17" s="1"/>
  <c r="V12" i="17"/>
  <c r="X12" i="17" s="1"/>
  <c r="V9" i="17"/>
  <c r="X9" i="17" s="1"/>
  <c r="R10" i="17"/>
  <c r="U12" i="17"/>
  <c r="R16" i="17"/>
  <c r="U7" i="17"/>
  <c r="U13" i="17"/>
  <c r="U10" i="17"/>
  <c r="U15" i="17"/>
  <c r="U6" i="17"/>
  <c r="R13" i="17"/>
  <c r="R7" i="17"/>
  <c r="U9" i="17"/>
  <c r="U16" i="17"/>
  <c r="F19" i="17" l="1"/>
  <c r="F25" i="17"/>
  <c r="P18" i="17"/>
  <c r="S10" i="17"/>
  <c r="S16" i="17"/>
  <c r="S13" i="17"/>
  <c r="S7" i="17"/>
  <c r="H25" i="17"/>
  <c r="H19" i="17"/>
  <c r="S6" i="17"/>
  <c r="S15" i="17"/>
  <c r="S9" i="17"/>
  <c r="S12" i="17"/>
  <c r="B9" i="17" l="1"/>
  <c r="B38" i="17" s="1"/>
  <c r="D9" i="17"/>
  <c r="C6" i="17"/>
  <c r="C35" i="17" s="1"/>
  <c r="D34" i="17" s="1"/>
  <c r="D18" i="17" s="1"/>
  <c r="C12" i="17"/>
  <c r="F31" i="17"/>
  <c r="B22" i="17" l="1"/>
  <c r="D22" i="17"/>
  <c r="D38" i="17"/>
  <c r="D36" i="17" s="1"/>
  <c r="D20" i="17" s="1"/>
  <c r="C25" i="17"/>
  <c r="C41" i="17"/>
  <c r="D42" i="17" s="1"/>
  <c r="D26" i="17" s="1"/>
  <c r="C19" i="17"/>
  <c r="B34" i="17"/>
  <c r="B18" i="17" s="1"/>
  <c r="B40" i="17"/>
  <c r="B24" i="17" s="1"/>
  <c r="B36" i="17"/>
  <c r="B20" i="17" s="1"/>
  <c r="H22" i="17" l="1"/>
  <c r="F22" i="17"/>
  <c r="D40" i="17"/>
  <c r="D24" i="17" s="1"/>
  <c r="B42" i="17"/>
  <c r="B26" i="17" s="1"/>
  <c r="H26" i="17" s="1"/>
  <c r="G25" i="17"/>
  <c r="G19" i="17"/>
  <c r="H18" i="17"/>
  <c r="F24" i="17"/>
  <c r="F18" i="17"/>
  <c r="F20" i="17"/>
  <c r="B30" i="17" l="1"/>
  <c r="H20" i="17"/>
  <c r="H24" i="17"/>
  <c r="F26" i="17"/>
  <c r="F30" i="17" l="1"/>
  <c r="C30" i="17"/>
  <c r="D30" i="17"/>
  <c r="H30" i="17" l="1"/>
  <c r="G30" i="17"/>
</calcChain>
</file>

<file path=xl/sharedStrings.xml><?xml version="1.0" encoding="utf-8"?>
<sst xmlns="http://schemas.openxmlformats.org/spreadsheetml/2006/main" count="266" uniqueCount="116">
  <si>
    <t>A</t>
  </si>
  <si>
    <t>D</t>
  </si>
  <si>
    <t>F</t>
  </si>
  <si>
    <t>Length</t>
  </si>
  <si>
    <t>Idx</t>
  </si>
  <si>
    <t>X</t>
  </si>
  <si>
    <t>Y</t>
  </si>
  <si>
    <t>Heading</t>
  </si>
  <si>
    <t>---</t>
  </si>
  <si>
    <t>FILENAME</t>
  </si>
  <si>
    <t>DESCRIPTION</t>
  </si>
  <si>
    <t>PROJ_DESC</t>
  </si>
  <si>
    <t>NAD83</t>
  </si>
  <si>
    <t>PROJ_DATUM</t>
  </si>
  <si>
    <t>PROJ_UNITS</t>
  </si>
  <si>
    <t>AREA COUNT</t>
  </si>
  <si>
    <t>AREA VERTEX COUNT</t>
  </si>
  <si>
    <t>LINE COUNT</t>
  </si>
  <si>
    <t>POINT COUNT</t>
  </si>
  <si>
    <t>MESH COUNT</t>
  </si>
  <si>
    <t>UPPER LEFT X</t>
  </si>
  <si>
    <t>UPPER LEFT Y</t>
  </si>
  <si>
    <t>LOWER RIGHT X</t>
  </si>
  <si>
    <t>LOWER RIGHT Y</t>
  </si>
  <si>
    <t>WEST LONGITUDE</t>
  </si>
  <si>
    <t>NORTH LATITUDE</t>
  </si>
  <si>
    <t>EAST LONGITUDE</t>
  </si>
  <si>
    <t>SOUTH LATITUDE</t>
  </si>
  <si>
    <t>UL CORNER LONGITUDE</t>
  </si>
  <si>
    <t>UL CORNER LATITUDE</t>
  </si>
  <si>
    <t>UR CORNER LONGITUDE</t>
  </si>
  <si>
    <t>UR CORNER LATITUDE</t>
  </si>
  <si>
    <t>LR CORNER LONGITUDE</t>
  </si>
  <si>
    <t>LR CORNER LATITUDE</t>
  </si>
  <si>
    <t>LL CORNER LONGITUDE</t>
  </si>
  <si>
    <t>LL CORNER LATITUDE</t>
  </si>
  <si>
    <t>COVERED AREA</t>
  </si>
  <si>
    <t>Central Meridian</t>
  </si>
  <si>
    <t>Longitude</t>
  </si>
  <si>
    <t>Latitude</t>
  </si>
  <si>
    <t>Total Length</t>
  </si>
  <si>
    <t>Top</t>
  </si>
  <si>
    <t>Right</t>
  </si>
  <si>
    <t>Bottom</t>
  </si>
  <si>
    <t>Left</t>
  </si>
  <si>
    <t>Distance</t>
  </si>
  <si>
    <t>Difference</t>
  </si>
  <si>
    <t>Units</t>
  </si>
  <si>
    <t>m</t>
  </si>
  <si>
    <t>yd</t>
  </si>
  <si>
    <t>Bearing</t>
  </si>
  <si>
    <t>Center</t>
  </si>
  <si>
    <t>Projection</t>
  </si>
  <si>
    <t>Data</t>
  </si>
  <si>
    <t>Transverse Mercator</t>
  </si>
  <si>
    <t>Coordinates</t>
  </si>
  <si>
    <t>Side</t>
  </si>
  <si>
    <t>Display Units</t>
  </si>
  <si>
    <t>Transverse Mercator / NAD83 / meters</t>
  </si>
  <si>
    <t>meters</t>
  </si>
  <si>
    <t>Seg Len</t>
  </si>
  <si>
    <t xml:space="preserve"> Seg Brg</t>
  </si>
  <si>
    <t xml:space="preserve"> Total Len</t>
  </si>
  <si>
    <t>km</t>
  </si>
  <si>
    <t>Angle</t>
  </si>
  <si>
    <t>Earth Radius</t>
  </si>
  <si>
    <t>Measured</t>
  </si>
  <si>
    <t>Projection Parameters</t>
  </si>
  <si>
    <t>Projection Distortion</t>
  </si>
  <si>
    <t>Globe Origin Angles</t>
  </si>
  <si>
    <t>Shape Distortion</t>
  </si>
  <si>
    <t>Tilt</t>
  </si>
  <si>
    <t>Segments</t>
  </si>
  <si>
    <t>mi</t>
  </si>
  <si>
    <t>#</t>
  </si>
  <si>
    <t>SIDE TIE:</t>
  </si>
  <si>
    <t>Display Projection Difference</t>
  </si>
  <si>
    <t>Origin</t>
  </si>
  <si>
    <t>deg</t>
  </si>
  <si>
    <t>Vertices</t>
  </si>
  <si>
    <t>0 ft</t>
  </si>
  <si>
    <t>Left to Right</t>
  </si>
  <si>
    <t>Right to Left</t>
  </si>
  <si>
    <t>Top to Bottom</t>
  </si>
  <si>
    <t>Bottom to Top</t>
  </si>
  <si>
    <t>miles</t>
  </si>
  <si>
    <t>yards</t>
  </si>
  <si>
    <t>Source</t>
  </si>
  <si>
    <t>Great Circle Geodesic Actual</t>
  </si>
  <si>
    <t>Highest</t>
  </si>
  <si>
    <t>Origin Latitude</t>
  </si>
  <si>
    <t>84.3°</t>
  </si>
  <si>
    <t>185.1°</t>
  </si>
  <si>
    <t>273.9°</t>
  </si>
  <si>
    <t>355.5°</t>
  </si>
  <si>
    <t>First Standard Parallel</t>
  </si>
  <si>
    <t>Second Standard Parellel</t>
  </si>
  <si>
    <t>Upper Left</t>
  </si>
  <si>
    <t>Map Perimeter Measurements</t>
  </si>
  <si>
    <t>652.257 miles</t>
  </si>
  <si>
    <t>673.792 miles</t>
  </si>
  <si>
    <t>652.256 miles</t>
  </si>
  <si>
    <t>1326.049 miles</t>
  </si>
  <si>
    <t>673.597 miles</t>
  </si>
  <si>
    <t>1978.305 miles</t>
  </si>
  <si>
    <t>2651.902 miles</t>
  </si>
  <si>
    <t xml:space="preserve"> 3443919 ft</t>
  </si>
  <si>
    <t xml:space="preserve"> 3557621 ft</t>
  </si>
  <si>
    <t xml:space="preserve"> 3443910.1 ft</t>
  </si>
  <si>
    <t xml:space="preserve"> 3556594.6 ft</t>
  </si>
  <si>
    <t>Highlight</t>
  </si>
  <si>
    <t>Difference Highlight</t>
  </si>
  <si>
    <t>Map Perimeter</t>
  </si>
  <si>
    <t>282506949.374 acres</t>
  </si>
  <si>
    <t>Map Perimeter Metadata</t>
  </si>
  <si>
    <t>Display/Source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</si>
</sst>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%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n">
        <color theme="0" tint="-0.14996795556505021"/>
      </left>
      <right style="dashed">
        <color indexed="64"/>
      </right>
      <top style="thin">
        <color theme="0" tint="-0.14993743705557422"/>
      </top>
      <bottom style="thin">
        <color theme="0" tint="-0.14996795556505021"/>
      </bottom>
      <diagonal/>
    </border>
    <border>
      <left style="dashed">
        <color auto="1"/>
      </left>
      <right/>
      <top/>
      <bottom style="thin">
        <color theme="0" tint="-0.14993743705557422"/>
      </bottom>
      <diagonal/>
    </border>
    <border>
      <left/>
      <right style="dashed">
        <color indexed="64"/>
      </right>
      <top/>
      <bottom style="thin">
        <color theme="0" tint="-0.14993743705557422"/>
      </bottom>
      <diagonal/>
    </border>
    <border>
      <left style="dashed">
        <color auto="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0691854609822"/>
      </right>
      <top/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theme="0" tint="-0.1498764000366222"/>
      </bottom>
      <diagonal/>
    </border>
    <border>
      <left/>
      <right style="thin">
        <color theme="0" tint="-0.14993743705557422"/>
      </right>
      <top style="thin">
        <color indexed="64"/>
      </top>
      <bottom style="thin">
        <color theme="0" tint="-0.14987640003662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6795556505021"/>
      </right>
      <top/>
      <bottom style="thin">
        <color theme="0" tint="-0.14993743705557422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0" xfId="0" applyAlignment="1"/>
    <xf numFmtId="0" fontId="0" fillId="0" borderId="0" xfId="0" applyBorder="1"/>
    <xf numFmtId="0" fontId="0" fillId="0" borderId="0" xfId="0"/>
    <xf numFmtId="0" fontId="0" fillId="0" borderId="0" xfId="0" applyFill="1" applyBorder="1" applyAlignment="1">
      <alignment horizontal="center"/>
    </xf>
    <xf numFmtId="0" fontId="1" fillId="0" borderId="0" xfId="0" applyFont="1" applyBorder="1" applyAlignment="1"/>
    <xf numFmtId="0" fontId="2" fillId="0" borderId="0" xfId="0" applyFont="1" applyAlignment="1">
      <alignment horizontal="center"/>
    </xf>
    <xf numFmtId="0" fontId="0" fillId="0" borderId="0" xfId="0"/>
    <xf numFmtId="0" fontId="0" fillId="2" borderId="2" xfId="0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/>
    <xf numFmtId="0" fontId="1" fillId="0" borderId="0" xfId="0" applyFont="1" applyFill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Font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2" fillId="0" borderId="0" xfId="0" applyFont="1"/>
    <xf numFmtId="0" fontId="9" fillId="0" borderId="0" xfId="0" applyFont="1" applyBorder="1" applyAlignment="1">
      <alignment horizontal="right" vertical="center"/>
    </xf>
    <xf numFmtId="0" fontId="9" fillId="0" borderId="21" xfId="0" applyFont="1" applyBorder="1" applyAlignment="1">
      <alignment horizontal="left" vertical="center"/>
    </xf>
    <xf numFmtId="0" fontId="0" fillId="2" borderId="19" xfId="0" applyFill="1" applyBorder="1" applyAlignment="1">
      <alignment horizontal="center" shrinkToFit="1"/>
    </xf>
    <xf numFmtId="0" fontId="9" fillId="0" borderId="0" xfId="0" applyFont="1" applyAlignment="1">
      <alignment vertical="center"/>
    </xf>
    <xf numFmtId="0" fontId="0" fillId="0" borderId="2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9" fillId="0" borderId="24" xfId="0" applyFont="1" applyBorder="1" applyAlignment="1">
      <alignment vertical="center"/>
    </xf>
    <xf numFmtId="0" fontId="0" fillId="0" borderId="23" xfId="0" applyBorder="1" applyAlignment="1"/>
    <xf numFmtId="0" fontId="2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/>
    <xf numFmtId="0" fontId="8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/>
    </xf>
    <xf numFmtId="0" fontId="1" fillId="0" borderId="25" xfId="0" applyFont="1" applyBorder="1" applyAlignment="1">
      <alignment vertical="center" wrapText="1"/>
    </xf>
    <xf numFmtId="0" fontId="0" fillId="0" borderId="1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 shrinkToFi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164" fontId="5" fillId="0" borderId="0" xfId="0" applyNumberFormat="1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0" borderId="2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</cellXfs>
  <cellStyles count="1">
    <cellStyle name="Normal" xfId="0" builtinId="0"/>
  </cellStyles>
  <dxfs count="66">
    <dxf>
      <fill>
        <patternFill>
          <bgColor theme="9" tint="0.79998168889431442"/>
        </patternFill>
      </fill>
    </dxf>
    <dxf>
      <font>
        <color theme="0"/>
      </font>
      <fill>
        <patternFill>
          <bgColor theme="9" tint="-0.24994659260841701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5" tint="-0.24994659260841701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6" tint="-0.24994659260841701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6" tint="-0.24994659260841701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6" tint="-0.24994659260841701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5" tint="-0.24994659260841701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border>
        <left style="dashed">
          <color auto="1"/>
        </left>
        <right style="dashed">
          <color auto="1"/>
        </right>
        <bottom style="dashed">
          <color auto="1"/>
        </bottom>
        <vertical/>
        <horizontal/>
      </border>
    </dxf>
    <dxf>
      <border>
        <left style="dashed">
          <color auto="1"/>
        </left>
        <right style="dashed">
          <color auto="1"/>
        </right>
        <top style="dashed">
          <color auto="1"/>
        </top>
        <vertical/>
        <horizontal/>
      </border>
    </dxf>
    <dxf>
      <border>
        <bottom/>
        <vertical/>
        <horizontal/>
      </border>
    </dxf>
    <dxf>
      <border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border>
        <right style="dashed">
          <color auto="1"/>
        </right>
        <bottom style="dashed">
          <color auto="1"/>
        </bottom>
        <vertical/>
        <horizontal/>
      </border>
    </dxf>
    <dxf>
      <border>
        <right style="dashed">
          <color auto="1"/>
        </right>
        <top style="dashed">
          <color auto="1"/>
        </top>
        <vertical/>
        <horizontal/>
      </border>
    </dxf>
    <dxf>
      <border>
        <left style="dashed">
          <color auto="1"/>
        </left>
        <right style="dashed">
          <color auto="1"/>
        </right>
        <bottom style="dashed">
          <color auto="1"/>
        </bottom>
        <vertical/>
        <horizontal/>
      </border>
    </dxf>
    <dxf>
      <border>
        <left style="dashed">
          <color auto="1"/>
        </left>
        <bottom style="dashed">
          <color auto="1"/>
        </bottom>
      </border>
    </dxf>
    <dxf>
      <border>
        <left style="dashed">
          <color auto="1"/>
        </left>
        <right style="dashed">
          <color auto="1"/>
        </right>
        <top style="dashed">
          <color auto="1"/>
        </top>
        <vertical/>
        <horizontal/>
      </border>
    </dxf>
    <dxf>
      <border>
        <left style="dashed">
          <color auto="1"/>
        </left>
        <right/>
        <top style="dashed">
          <color auto="1"/>
        </top>
        <bottom/>
        <vertical/>
        <horizontal/>
      </border>
    </dxf>
    <dxf>
      <border>
        <left style="dashed">
          <color auto="1"/>
        </left>
        <right style="dashed">
          <color auto="1"/>
        </right>
        <top style="dashed">
          <color auto="1"/>
        </top>
        <bottom/>
        <vertical/>
        <horizontal/>
      </border>
    </dxf>
  </dxfs>
  <tableStyles count="0" defaultTableStyle="TableStyleMedium9" defaultPivotStyle="PivotStyleLight16"/>
  <colors>
    <mruColors>
      <color rgb="FFF1F5F9"/>
      <color rgb="FFFFFFCC"/>
      <color rgb="FFFFFF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9"/>
  <sheetViews>
    <sheetView tabSelected="1" zoomScaleNormal="100" workbookViewId="0">
      <selection activeCell="O19" sqref="O19"/>
    </sheetView>
  </sheetViews>
  <sheetFormatPr defaultRowHeight="14.5" x14ac:dyDescent="0.35"/>
  <cols>
    <col min="1" max="1" width="8" bestFit="1" customWidth="1"/>
    <col min="2" max="2" width="13.1796875" customWidth="1"/>
    <col min="3" max="3" width="13.1796875" style="17" customWidth="1"/>
    <col min="4" max="4" width="13.08984375" customWidth="1"/>
    <col min="5" max="5" width="8" style="17" bestFit="1" customWidth="1"/>
    <col min="6" max="6" width="13.1796875" style="17" customWidth="1"/>
    <col min="7" max="8" width="13.1796875" customWidth="1"/>
    <col min="9" max="9" width="8" bestFit="1" customWidth="1"/>
    <col min="10" max="11" width="2.81640625" style="17" customWidth="1"/>
    <col min="12" max="12" width="9.81640625" bestFit="1" customWidth="1"/>
    <col min="13" max="13" width="8.6328125" style="17" customWidth="1"/>
    <col min="14" max="14" width="12.453125" style="17" customWidth="1"/>
    <col min="15" max="15" width="12.453125" style="7" customWidth="1"/>
    <col min="16" max="16" width="12.453125" style="17" customWidth="1"/>
    <col min="17" max="17" width="12.36328125" customWidth="1"/>
    <col min="18" max="18" width="8.81640625" style="17" bestFit="1" customWidth="1"/>
    <col min="19" max="19" width="11.81640625" bestFit="1" customWidth="1"/>
    <col min="20" max="20" width="11.81640625" style="17" bestFit="1" customWidth="1"/>
    <col min="21" max="21" width="2.90625" bestFit="1" customWidth="1"/>
    <col min="22" max="22" width="10.453125" bestFit="1" customWidth="1"/>
    <col min="23" max="24" width="12.453125" customWidth="1"/>
  </cols>
  <sheetData>
    <row r="1" spans="1:25" s="7" customFormat="1" x14ac:dyDescent="0.35">
      <c r="A1" s="122" t="s">
        <v>68</v>
      </c>
      <c r="B1" s="122"/>
      <c r="C1" s="122"/>
      <c r="D1" s="122"/>
      <c r="E1" s="122"/>
      <c r="F1" s="122"/>
      <c r="G1" s="122"/>
      <c r="H1" s="122"/>
      <c r="I1" s="122"/>
      <c r="J1" s="49"/>
      <c r="L1" s="115" t="s">
        <v>87</v>
      </c>
      <c r="M1" s="115"/>
      <c r="N1" s="115"/>
      <c r="O1" s="115"/>
      <c r="P1" s="115"/>
      <c r="Q1" s="115"/>
      <c r="R1" s="115"/>
      <c r="S1" s="115"/>
      <c r="T1" s="115"/>
    </row>
    <row r="2" spans="1:25" s="7" customFormat="1" ht="14.4" customHeight="1" x14ac:dyDescent="0.35">
      <c r="B2" s="72" t="s">
        <v>57</v>
      </c>
      <c r="C2" s="21" t="s">
        <v>45</v>
      </c>
      <c r="D2" s="48" t="s">
        <v>73</v>
      </c>
      <c r="E2" s="21" t="s">
        <v>64</v>
      </c>
      <c r="F2" s="8" t="s">
        <v>78</v>
      </c>
      <c r="O2" s="104" t="str">
        <f ca="1">IF(N5=P5, "Display/Source", "Display")</f>
        <v>Display/Source</v>
      </c>
      <c r="P2" s="6" t="s">
        <v>87</v>
      </c>
      <c r="Q2" s="72" t="s">
        <v>53</v>
      </c>
      <c r="R2" s="117" t="s">
        <v>98</v>
      </c>
      <c r="S2" s="118"/>
      <c r="T2" s="119"/>
    </row>
    <row r="3" spans="1:25" s="7" customFormat="1" ht="14.5" customHeight="1" x14ac:dyDescent="0.35">
      <c r="B3" s="115" t="s">
        <v>88</v>
      </c>
      <c r="C3" s="115"/>
      <c r="D3" s="115"/>
      <c r="F3" s="115" t="s">
        <v>52</v>
      </c>
      <c r="G3" s="116"/>
      <c r="H3" s="86" t="s">
        <v>115</v>
      </c>
      <c r="K3" s="2"/>
      <c r="L3" s="2"/>
      <c r="M3" s="2"/>
      <c r="N3" s="120" t="str">
        <f ca="1">"Display"&amp;IF(AND($N$5=$P$5, $O$5=$Q$5), "/Source", "")&amp;" Projection"</f>
        <v>Display/Source Projection</v>
      </c>
      <c r="O3" s="125"/>
      <c r="P3" s="123" t="str">
        <f ca="1">IF(OR($N$5&lt;&gt;$P$5, $O$5&lt;&gt;$Q$5), "Source Projection", "")</f>
        <v/>
      </c>
      <c r="Q3" s="124"/>
      <c r="R3" s="120" t="s">
        <v>88</v>
      </c>
      <c r="S3" s="121"/>
      <c r="T3" s="121"/>
      <c r="U3" s="2"/>
      <c r="V3" s="13"/>
    </row>
    <row r="4" spans="1:25" s="13" customFormat="1" x14ac:dyDescent="0.35">
      <c r="A4" s="2"/>
      <c r="B4" s="22" t="s">
        <v>44</v>
      </c>
      <c r="C4" s="22" t="s">
        <v>41</v>
      </c>
      <c r="D4" s="22" t="s">
        <v>42</v>
      </c>
      <c r="E4" s="5"/>
      <c r="F4" s="24" t="s">
        <v>44</v>
      </c>
      <c r="G4" s="24" t="s">
        <v>41</v>
      </c>
      <c r="H4" s="24" t="s">
        <v>42</v>
      </c>
      <c r="I4" s="3"/>
      <c r="K4" s="2"/>
      <c r="L4" s="2"/>
      <c r="N4" s="101" t="s">
        <v>47</v>
      </c>
      <c r="O4" s="63" t="s">
        <v>48</v>
      </c>
      <c r="P4" s="102" t="s">
        <v>47</v>
      </c>
      <c r="Q4" s="59" t="s">
        <v>48</v>
      </c>
      <c r="R4" s="77"/>
      <c r="S4" s="9" t="s">
        <v>47</v>
      </c>
      <c r="T4" s="20" t="s">
        <v>78</v>
      </c>
      <c r="U4" s="2"/>
      <c r="X4" s="3"/>
    </row>
    <row r="5" spans="1:25" s="7" customFormat="1" x14ac:dyDescent="0.35">
      <c r="A5" s="32" t="s">
        <v>50</v>
      </c>
      <c r="B5" s="32">
        <f ca="1">IFERROR(IF($F$2="rad", RADIANS(T6), T6), "")</f>
        <v>84.275984899999997</v>
      </c>
      <c r="C5" s="32"/>
      <c r="D5" s="32">
        <f ca="1">IFERROR(IF($F$2="rad", RADIANS(T7), T7), "")</f>
        <v>275.48827799999998</v>
      </c>
      <c r="E5" s="32" t="s">
        <v>50</v>
      </c>
      <c r="F5" s="32">
        <f ca="1">IFERROR(IF($H$3=$P$2, IF($F$2="rad", ATAN2(Q6-Q7, P6-P7)+PI(), DEGREES(ATAN2(Q6-Q7, P6-P7))+180), IF($F$2="rad", ATAN2(O6-O7, N6-N7)+PI(), DEGREES(ATAN2(O6-O7, N6-N7))+180)), "")</f>
        <v>90</v>
      </c>
      <c r="H5" s="31">
        <f ca="1">IFERROR(IF($H$3=$P$2, IF($F$2="rad", ATAN2(Q7-Q6, P7-P6)+PI(), DEGREES(ATAN2(Q7-Q6, P7-P6))+180), IF($F$2="rad", ATAN2(O7-O6, N7-N6)+PI(), DEGREES(ATAN2(O7-O6, N7-N6))+180)), "")</f>
        <v>270</v>
      </c>
      <c r="I5" s="32" t="s">
        <v>50</v>
      </c>
      <c r="K5" s="58" t="s">
        <v>74</v>
      </c>
      <c r="L5" s="55" t="s">
        <v>56</v>
      </c>
      <c r="M5" s="81" t="s">
        <v>71</v>
      </c>
      <c r="N5" s="68" t="str">
        <f ca="1">IFERROR(HLOOKUP("X (View Proj)", INDIRECT("'"&amp;R2&amp;"'!1:1"), 1, 0), "X")</f>
        <v>X</v>
      </c>
      <c r="O5" s="62" t="str">
        <f ca="1">IFERROR(HLOOKUP("Y (View Proj)", INDIRECT("'"&amp;R2&amp;"'!1:1"), 1, 0), "Y")</f>
        <v>Y</v>
      </c>
      <c r="P5" s="26" t="s">
        <v>5</v>
      </c>
      <c r="Q5" s="26" t="s">
        <v>6</v>
      </c>
      <c r="R5" s="61" t="s">
        <v>3</v>
      </c>
      <c r="S5" s="58" t="s">
        <v>66</v>
      </c>
      <c r="T5" s="58" t="s">
        <v>50</v>
      </c>
      <c r="U5" s="2"/>
    </row>
    <row r="6" spans="1:25" s="3" customFormat="1" ht="15" thickBot="1" x14ac:dyDescent="0.4">
      <c r="A6" s="34" t="s">
        <v>64</v>
      </c>
      <c r="B6" s="34">
        <f ca="1">IFERROR(B8-B5+IF(B8-B5&lt;0, IF($F$2="rad", RADIANS(360), 360), 0), IF(AND(C34="Great Circle", B37="Great Circle"), IF(F2="rad", RADIANS(90), 90), ""))</f>
        <v>90.410891600000014</v>
      </c>
      <c r="C6" s="33">
        <f ca="1">IFERROR(IF(ISNUMBER($S$6), CONVERT($S$6, $S$7, $D$2), CONVERT($R$6, $R$7, $D$2)), "")</f>
        <v>652.25738636363633</v>
      </c>
      <c r="D6" s="35">
        <f ca="1">IFERROR(D5-D8+IF(D5-D8&lt;0, IF($F$2="rad", RADIANS(360), 360), 0), IF(AND(C34="Great Circle", D37="Great Circle"), IF(F2="rad", RADIANS(90), 90), ""))</f>
        <v>90.393866599999967</v>
      </c>
      <c r="E6" s="36" t="s">
        <v>64</v>
      </c>
      <c r="F6" s="34">
        <f ca="1">IFERROR(F8-F5+IF(F8-F5&lt;0, IF($F$2="rad", RADIANS(360), 360), 0), "")</f>
        <v>90</v>
      </c>
      <c r="G6" s="30">
        <f ca="1">IFERROR(IF($H$3=$P$2, CONVERT(SQRT((P7-P6)^2+(Q7-Q6)^2), Q$4, $D$2), CONVERT(SQRT((N7-N6)^2+(O7-O6)^2), O$4, $D$2)), "")</f>
        <v>652.99620466475778</v>
      </c>
      <c r="H6" s="35">
        <f ca="1">IFERROR(H5-H8+IF(H5-H8&lt;0, IF($F$2="rad", RADIANS(360), 360), 0), "")</f>
        <v>90</v>
      </c>
      <c r="I6" s="36" t="s">
        <v>64</v>
      </c>
      <c r="J6" s="80"/>
      <c r="K6" s="57">
        <f t="array" aca="1" ref="K6" ca="1">IFERROR(INDEX(INDIRECT("'"&amp;$R$2&amp;"'!"&amp;$K$17&amp;"2:"&amp;$K$17&amp;$K$18), MATCH(O6, IF(INDIRECT("'"&amp;$R$2&amp;"'!"&amp;$N$17&amp;"2:"&amp;$N$17&amp;$K$18)=N6, INDIRECT("'"&amp;$R$2&amp;"'!"&amp;$O$17&amp;"2:"&amp;$O$17&amp;$K$18)), 0)), "")</f>
        <v>1</v>
      </c>
      <c r="L6" s="126" t="s">
        <v>41</v>
      </c>
      <c r="M6" s="79" t="str">
        <f ca="1">IFERROR(IF(ATAN2(O6-O7, N6-N7)+PI()&gt;PI()/2, "Right", IF(ATAN2(O6-O7, N6-N7)+PI()&lt;PI()/2, "Left", "None")), "")</f>
        <v>None</v>
      </c>
      <c r="N6" s="64">
        <f t="array" aca="1" ref="N6" ca="1">IFERROR(SMALL(IFERROR(IFERROR({1,0}*IF(INDIRECT("'"&amp;$R$2&amp;"'!"&amp;$O$17&amp;"2:"&amp;$O$17&amp;$K$18)=LARGE(INDIRECT("'"&amp;$R$2&amp;"'!"&amp;$O$17&amp;"2:"&amp;$O$17&amp;$K$18), 1),INDIRECT("'"&amp;$R$2&amp;"'!"&amp;$N$17&amp;"2:"&amp;$N$17&amp;$K$18), {"",0}), "")+IF(LARGE(INDIRECT("'"&amp;$R$2&amp;"'!"&amp;$O$17&amp;"2:"&amp;$O$17&amp;$K$18), 1)&lt;&gt;LARGE(INDIRECT("'"&amp;$R$2&amp;"'!"&amp;$O$17&amp;"2:"&amp;$O$17&amp;$K$18), 2), IFERROR({0,1}*IF(INDIRECT("'"&amp;$R$2&amp;"'!"&amp;$O$17&amp;"2:"&amp;$O$17&amp;$K$18)=LARGE(INDIRECT("'"&amp;$R$2&amp;"'!"&amp;$O$17&amp;"2:"&amp;$O$17&amp;$K$18), 2),INDIRECT("'"&amp;$R$2&amp;"'!"&amp;$N$17&amp;"2:"&amp;$N$17&amp;$K$18), ""), {0,""}), {0,""}), ""), 1+IF(AND($M$8, IF(ABS($M$7)&gt;ABS($M$9), $M$7&lt;0, $M$9&gt;=0)), 1, 0)), "")</f>
        <v>-536616.18299999996</v>
      </c>
      <c r="O6" s="65">
        <f t="array" aca="1" ref="O6" ca="1">IFERROR(MAX(IF(INDIRECT("'"&amp;$R$2&amp;"'!"&amp;$N$17&amp;"2:"&amp;$N$17&amp;$K$18)=N6, INDIRECT("'"&amp;$R$2&amp;"'!"&amp;$O$17&amp;"2:"&amp;$O$17&amp;$K$18))), "")</f>
        <v>557523.29200000002</v>
      </c>
      <c r="P6" s="25" t="str">
        <f ca="1">IFERROR(IF($N$5&lt;&gt;$P$5,INDEX(INDIRECT("'"&amp;$R$2&amp;"'!"&amp;P$17&amp;":"&amp;P$17), MATCH($K6, INDIRECT("'"&amp;$R$2&amp;"'!"&amp;$K$17&amp;":"&amp;$K$17), 0)), ""), "")</f>
        <v/>
      </c>
      <c r="Q6" s="79" t="str">
        <f ca="1">IFERROR(IF($O$5&lt;&gt;$Q$5,INDEX(INDIRECT("'"&amp;$R$2&amp;"'!"&amp;Q$17&amp;":"&amp;Q$17), MATCH($K6, INDIRECT("'"&amp;$R$2&amp;"'!"&amp;$K$17&amp;":"&amp;$K$17), 0)), ""), "")</f>
        <v/>
      </c>
      <c r="R6" s="64">
        <f ca="1">IFERROR(IF(OR(ABS(K6-K7)=1, AND(MIN(K6:K7)=1, MAX(K6:K7)=$M$19)), VALUE(LEFT(INDEX(INDIRECT("'"&amp;$R$2&amp;"'!"&amp;R$17&amp;":"&amp;R$17), MATCH(IF(ABS(K6-K7)=1, MIN(K6:K7), MAX(K6:K7)), INDIRECT("'"&amp;$R$2&amp;"'!"&amp;$K$17&amp;":"&amp;$K$17), 0)), SEARCH(" ", INDEX(INDIRECT("'"&amp;$R$2&amp;"'!"&amp;R$17&amp;":"&amp;R$17), MATCH(IF(ABS(K6-K7)=1, MIN(K6:K7), MAX(K6:K7)), INDIRECT("'"&amp;$R$2&amp;"'!"&amp;$K$17&amp;":"&amp;$K$17), 0))))), ""), "")</f>
        <v>652.25699999999995</v>
      </c>
      <c r="S6" s="76">
        <f ca="1">IFERROR(AVERAGE(CONVERT(VALUE(LEFT(INDIRECT("'"&amp;$R$2&amp;"'!"&amp;S$17&amp;ROW(A10)), SEARCH(" ", INDIRECT("'"&amp;$R$2&amp;"'!"&amp;S$17&amp;ROW(A10)), 2)-1)), U6, U6), CONVERT(VALUE(LEFT(INDIRECT("'"&amp;$R$2&amp;"'!"&amp;S$17&amp;ROW(A11)), SEARCH(" ", INDIRECT("'"&amp;$R$2&amp;"'!"&amp;S$17&amp;ROW(A11)), 2)-1)), U7, U6)), "")</f>
        <v>3443919</v>
      </c>
      <c r="T6" s="57">
        <f ca="1">IFERROR(IF(INDIRECT("'"&amp;$R$2&amp;"'!"&amp;T$17&amp;ROW(A10))&lt;&gt;"", INDIRECT("'"&amp;$R$2&amp;"'!"&amp;T$17&amp;ROW(A10)), ""), "")</f>
        <v>84.275984899999997</v>
      </c>
      <c r="U6" s="80" t="str">
        <f ca="1">IFERROR(VLOOKUP(RIGHT(INDIRECT("'"&amp;$R$2&amp;"'!"&amp;S$17&amp;ROW(A10)), LEN(INDIRECT("'"&amp;$R$2&amp;"'!"&amp;S$17&amp;ROW(A10)))-SEARCH(" ", INDIRECT("'"&amp;$R$2&amp;"'!"&amp;S$17&amp;ROW(A10)), 2)), $R$18:$S$19, 2, 0), IFERROR(RIGHT(INDIRECT("'"&amp;$R$2&amp;"'!"&amp;S$17&amp;ROW(A10)), LEN(INDIRECT("'"&amp;$R$2&amp;"'!"&amp;S$17&amp;ROW(A10)))-SEARCH(" ", INDIRECT("'"&amp;$R$2&amp;"'!"&amp;S$17&amp;ROW(A10)), 2)), ""))</f>
        <v>ft</v>
      </c>
      <c r="V6" s="6">
        <f ca="1">IF($F$2="rad", DEGREES(F5), F5)</f>
        <v>90</v>
      </c>
      <c r="W6" s="6">
        <f ca="1">IF($T$4="rad", DEGREES(T6), T6)</f>
        <v>84.275984899999997</v>
      </c>
      <c r="X6" s="83" t="str">
        <f ca="1">IFERROR(IF(ABS(V6-W6)=MIN(ABS(V6-W6), ABS((V6-360)-W6), ABS(V6-(W6-360))), MIN(IFERROR(ABS(V6-$W$6:$W$7), ""), IFERROR(ABS(V6-$W$12:$W$13), ""), IFERROR(ABS(V6-$W$15:$W$16), ""))&lt;&gt;ABS(V6-W6), IF(ABS((V6-360)-W6)=MIN(ABS(V6-W6), ABS((V6-360)-W6), ABS(V6-(W6-360))), MIN(IFERROR(ABS((V6-360)-$W$6:$W$7), ""), IFERROR(ABS((V6-360)-$W$12:$W$13), ""), IFERROR(ABS((V6-360)-$W$15:$W$16), ""))&lt;&gt;ABS((V6-360)-W6),  IF(ABS(V6-(W6-360))=MIN(ABS(V6-W6), ABS((V6-360)-W6), ABS(V6-(W6-360))), MIN(IFERROR(ABS(V6-($W$6:$W$7-360)), ""), IFERROR(ABS(V6-($W$12:$W$13-360)), ""), IFERROR(ABS(V6-($W$15:$W$16-360)), ""))&lt;&gt;ABS(V6-(W6-360)), TRUE))), "")</f>
        <v/>
      </c>
    </row>
    <row r="7" spans="1:25" s="7" customFormat="1" x14ac:dyDescent="0.35">
      <c r="A7" s="27"/>
      <c r="B7" s="27"/>
      <c r="C7" s="37"/>
      <c r="D7" s="27"/>
      <c r="E7" s="27"/>
      <c r="F7" s="27"/>
      <c r="G7" s="37"/>
      <c r="H7" s="27"/>
      <c r="I7" s="27"/>
      <c r="K7" s="57">
        <f t="array" aca="1" ref="K7" ca="1">IFERROR(INDEX(INDIRECT("'"&amp;$R$2&amp;"'!"&amp;$K$17&amp;"2:"&amp;$K$17&amp;$K$18), MATCH(O7, IF(INDIRECT("'"&amp;$R$2&amp;"'!"&amp;$N$17&amp;"2:"&amp;$N$17&amp;$K$18)=N7, INDIRECT("'"&amp;$R$2&amp;"'!"&amp;$O$17&amp;"2:"&amp;$O$17&amp;$K$18)), 0)), "")</f>
        <v>2</v>
      </c>
      <c r="L7" s="126"/>
      <c r="M7" s="82">
        <f ca="1">IFERROR(INDEX(INDIRECT("'"&amp;$R$2&amp;"'!"&amp;$N$17&amp;"2:"&amp;$N$17&amp;$K$18), MATCH(LARGE(INDIRECT("'"&amp;$R$2&amp;"'!"&amp;$O$17&amp;"2:"&amp;$O$17&amp;$K$18), 1), INDIRECT("'"&amp;$R$2&amp;"'!"&amp;$O$17&amp;"2:"&amp;$O$17&amp;$K$18), 0))-AVERAGE(LARGE(INDIRECT("'"&amp;$R$2&amp;"'!"&amp;$N$17&amp;"2:"&amp;$N$17&amp;$K$18), 1), SMALL(INDIRECT("'"&amp;$R$2&amp;"'!"&amp;$N$17&amp;"2:"&amp;$N$17&amp;$K$18), 1)), "")</f>
        <v>-525447.76199999999</v>
      </c>
      <c r="N7" s="64">
        <f t="array" aca="1" ref="N7" ca="1">IFERROR(SMALL(IFERROR(IFERROR({1,0}*IF(INDIRECT("'"&amp;$R$2&amp;"'!"&amp;$O$17&amp;"2:"&amp;$O$17&amp;$K$18)=LARGE(INDIRECT("'"&amp;$R$2&amp;"'!"&amp;$O$17&amp;"2:"&amp;$O$17&amp;$K$18), 1),INDIRECT("'"&amp;$R$2&amp;"'!"&amp;$N$17&amp;"2:"&amp;$N$17&amp;$K$18), {"",0}), "")+IF(LARGE(INDIRECT("'"&amp;$R$2&amp;"'!"&amp;$O$17&amp;"2:"&amp;$O$17&amp;$K$18), 1)&lt;&gt;LARGE(INDIRECT("'"&amp;$R$2&amp;"'!"&amp;$O$17&amp;"2:"&amp;$O$17&amp;$K$18), 2), IFERROR({0,1}*IF(INDIRECT("'"&amp;$R$2&amp;"'!"&amp;$O$17&amp;"2:"&amp;$O$17&amp;$K$18)=LARGE(INDIRECT("'"&amp;$R$2&amp;"'!"&amp;$O$17&amp;"2:"&amp;$O$17&amp;$K$18), 2),INDIRECT("'"&amp;$R$2&amp;"'!"&amp;$N$17&amp;"2:"&amp;$N$17&amp;$K$18), ""), {0,""}), {0,""}), ""), 2+IF(AND($M$8, IF(ABS($M$7)&gt;ABS($M$9), $M$7&lt;0, $M$9&gt;=0)), 1, 0)), "")</f>
        <v>514279.34100000001</v>
      </c>
      <c r="O7" s="65">
        <f t="array" aca="1" ref="O7" ca="1">IFERROR(MAX(IF(INDIRECT("'"&amp;$R$2&amp;"'!"&amp;$N$17&amp;"2:"&amp;$N$17&amp;$K$18)=N7, INDIRECT("'"&amp;$R$2&amp;"'!"&amp;$O$17&amp;"2:"&amp;$O$17&amp;$K$18))), "")</f>
        <v>557523.29200000002</v>
      </c>
      <c r="P7" s="79" t="str">
        <f ca="1">IFERROR(IF($N$5&lt;&gt;$P$5,INDEX(INDIRECT("'"&amp;$R$2&amp;"'!"&amp;P$17&amp;":"&amp;P$17), MATCH($K7, INDIRECT("'"&amp;$R$2&amp;"'!"&amp;$K$17&amp;":"&amp;$K$17), 0)), ""), "")</f>
        <v/>
      </c>
      <c r="Q7" s="79" t="str">
        <f ca="1">IFERROR(IF($O$5&lt;&gt;$Q$5,INDEX(INDIRECT("'"&amp;$R$2&amp;"'!"&amp;Q$17&amp;":"&amp;Q$17), MATCH($K7, INDIRECT("'"&amp;$R$2&amp;"'!"&amp;$K$17&amp;":"&amp;$K$17), 0)), ""), "")</f>
        <v/>
      </c>
      <c r="R7" s="64" t="str">
        <f ca="1">IFERROR(IF($R$4="", IFERROR(VLOOKUP(IF(OR(ABS(K6-K7)=1, AND(MIN(K6:K7)=1, MAX(K6:K7)=$M$19)), RIGHT(INDEX(INDIRECT("'"&amp;$R$2&amp;"'!"&amp;R$17&amp;":"&amp;R$17), MATCH(IF(ABS(K6-K7)=1, MIN(K6:K7), MAX(K6:K7)), INDIRECT("'"&amp;$R$2&amp;"'!"&amp;$K$17&amp;":"&amp;$K$17), 0)), LEN(INDEX(INDIRECT("'"&amp;$R$2&amp;"'!"&amp;R$17&amp;":"&amp;R$17), MATCH(IF(ABS(K6-K7)=1, MIN(K6:K7), MAX(K6:K7)), INDIRECT("'"&amp;$R$2&amp;"'!"&amp;$K$17&amp;":"&amp;$K$17), 0)))-SEARCH(" ", INDEX(INDIRECT("'"&amp;$R$2&amp;"'!"&amp;R$17&amp;":"&amp;R$17), MATCH(IF(ABS(K6-K7)=1, MIN(K6:K7), MAX(K6:K7)), INDIRECT("'"&amp;$R$2&amp;"'!"&amp;$K$17&amp;":"&amp;$K$17), 0)))), ""), $R$18:$S$19, 2, 0), IF(OR(ABS(K6-K7)=1, AND(MIN(K6:K7)=1, MAX(K6:K7)=$M$19)), RIGHT(INDEX(INDIRECT("'"&amp;$R$2&amp;"'!"&amp;R$17&amp;":"&amp;R$17), MATCH(IF(ABS(K6-K7)=1, MIN(K6:K7), MAX(K6:K7)), INDIRECT("'"&amp;$R$2&amp;"'!"&amp;$K$17&amp;":"&amp;$K$17), 0)), LEN(INDEX(INDIRECT("'"&amp;$R$2&amp;"'!"&amp;R$17&amp;":"&amp;R$17), MATCH(IF(ABS(K6-K7)=1, MIN(K6:K7), MAX(K6:K7)), INDIRECT("'"&amp;$R$2&amp;"'!"&amp;$K$17&amp;":"&amp;$K$17), 0)))-SEARCH(" ", INDEX(INDIRECT("'"&amp;$R$2&amp;"'!"&amp;R$17&amp;":"&amp;R$17), MATCH(IF(ABS(K6-K7)=1, MIN(K6:K7), MAX(K6:K7)), INDIRECT("'"&amp;$R$2&amp;"'!"&amp;$K$17&amp;":"&amp;$K$17), 0)))), "")), $R$4), "")</f>
        <v>mi</v>
      </c>
      <c r="S7" s="75" t="str">
        <f ca="1">IF(OR($S$4="", $S$4="Units"), U6, $S$4)</f>
        <v>ft</v>
      </c>
      <c r="T7" s="78">
        <f ca="1">IFERROR(IF(INDIRECT("'"&amp;$R$2&amp;"'!"&amp;T$17&amp;ROW(A11))&lt;&gt;"", INDIRECT("'"&amp;$R$2&amp;"'!"&amp;T$17&amp;ROW(A11)), ""), "")</f>
        <v>275.48827799999998</v>
      </c>
      <c r="U7" s="80" t="str">
        <f ca="1">IFERROR(VLOOKUP(RIGHT(INDIRECT("'"&amp;$R$2&amp;"'!"&amp;S$17&amp;ROW(A11)), LEN(INDIRECT("'"&amp;$R$2&amp;"'!"&amp;S$17&amp;ROW(A11)))-SEARCH(" ", INDIRECT("'"&amp;$R$2&amp;"'!"&amp;S$17&amp;ROW(A11)), 2)), $R$18:$S$19, 2, 0), IFERROR(RIGHT(INDIRECT("'"&amp;$R$2&amp;"'!"&amp;S$17&amp;ROW(A11)), LEN(INDIRECT("'"&amp;$R$2&amp;"'!"&amp;S$17&amp;ROW(A11)))-SEARCH(" ", INDIRECT("'"&amp;$R$2&amp;"'!"&amp;S$17&amp;ROW(A11)), 2)), ""))</f>
        <v>ft</v>
      </c>
      <c r="V7" s="6">
        <f ca="1">IF($F$2="rad", DEGREES(H5), H5)</f>
        <v>270</v>
      </c>
      <c r="W7" s="6">
        <f ca="1">IF($T$4="rad", DEGREES(T7), T7)</f>
        <v>275.48827799999998</v>
      </c>
      <c r="X7" s="83" t="str">
        <f ca="1">IFERROR(IF(ABS(V7-W7)=MIN(ABS(V7-W7), ABS((V7-360)-W7), ABS(V7-(W7-360))), MIN(IFERROR(ABS(V7-$W$6:$W$7), ""), IFERROR(ABS(V7-$W$12:$W$13), ""), IFERROR(ABS(V7-$W$15:$W$16), ""))&lt;&gt;ABS(V7-W7), IF(ABS((V7-360)-W7)=MIN(ABS(V7-W7), ABS((V7-360)-W7), ABS(V7-(W7-360))), MIN(IFERROR(ABS((V7-360)-$W$6:$W$7), ""), IFERROR(ABS((V7-360)-$W$12:$W$13), ""), IFERROR(ABS((V7-360)-$W$15:$W$16), ""))&lt;&gt;ABS((V7-360)-W7),  IF(ABS(V7-(W7-360))=MIN(ABS(V7-W7), ABS((V7-360)-W7), ABS(V7-(W7-360))), MIN(IFERROR(ABS(V7-($W$6:$W$7-360)), ""), IFERROR(ABS(V7-($W$12:$W$13-360)), ""), IFERROR(ABS(V7-($W$15:$W$16-360)), ""))&lt;&gt;ABS(V7-(W7-360)), TRUE))), "")</f>
        <v/>
      </c>
    </row>
    <row r="8" spans="1:25" s="3" customFormat="1" x14ac:dyDescent="0.35">
      <c r="A8" s="32" t="s">
        <v>50</v>
      </c>
      <c r="B8" s="31">
        <f ca="1">IFERROR(IF($F$2="rad", RADIANS(T12), T12), "")</f>
        <v>174.68687650000001</v>
      </c>
      <c r="C8" s="38"/>
      <c r="D8" s="32">
        <f ca="1">IFERROR(IF($F$2="rad", RADIANS(T15), T15), "")</f>
        <v>185.09441140000001</v>
      </c>
      <c r="E8" s="32" t="s">
        <v>50</v>
      </c>
      <c r="F8" s="32">
        <f ca="1">IFERROR(IF($H$3=$P$2, IF($F$2="rad", ATAN2(Q12-Q13, P12-P13)+PI(), DEGREES(ATAN2(Q12-Q13, P12-P13))+180), IF($F$2="rad", ATAN2(O12-O13, N12-N13)+PI(), DEGREES(ATAN2(O12-O13, N12-N13))+180)), "")</f>
        <v>180</v>
      </c>
      <c r="G8" s="38"/>
      <c r="H8" s="32">
        <f ca="1">IFERROR(IF($H$3=$P$2, IF($F$2="rad", ATAN2(Q15-Q16, P15-P16)+PI(), DEGREES(ATAN2(Q15-Q16, P15-P16))+180), IF($F$2="rad", ATAN2(O15-O16, N15-N16)+PI(), DEGREES(ATAN2(O15-O16, N15-N16))+180)), "")</f>
        <v>180</v>
      </c>
      <c r="I8" s="32" t="s">
        <v>50</v>
      </c>
      <c r="K8" s="4"/>
      <c r="L8" s="84" t="s">
        <v>75</v>
      </c>
      <c r="M8" s="85" t="b">
        <f ca="1">IFERROR(SMALL(INDIRECT("'"&amp;$R$2&amp;"'!"&amp;$O$17&amp;"2:"&amp;$O$17&amp;$K$18), 2)=SMALL(INDIRECT("'"&amp;$R$2&amp;"'!"&amp;$O$17&amp;"2:"&amp;$O$17&amp;$K$18), 3), "")</f>
        <v>0</v>
      </c>
      <c r="N8" s="66"/>
      <c r="O8" s="65"/>
      <c r="P8" s="25"/>
      <c r="Q8" s="25"/>
      <c r="R8" s="64"/>
      <c r="S8" s="75"/>
      <c r="T8" s="2"/>
      <c r="U8" s="80"/>
      <c r="V8" s="6"/>
      <c r="W8" s="6"/>
      <c r="X8" s="83"/>
    </row>
    <row r="9" spans="1:25" x14ac:dyDescent="0.35">
      <c r="A9" s="29" t="s">
        <v>45</v>
      </c>
      <c r="B9" s="30">
        <f ca="1">IFERROR(IF(ISNUMBER($S$12), CONVERT($S$12, $S$13, $D$2), CONVERT($R$12, $R$13, $D$2)), "")</f>
        <v>673.59746212121217</v>
      </c>
      <c r="C9" s="39"/>
      <c r="D9" s="30">
        <f ca="1">IFERROR(IF(ISNUMBER($S$15), CONVERT($S$15, $S$16, $D$2), CONVERT($R$15, $R$16, $D$2)), "")</f>
        <v>673.79185606060605</v>
      </c>
      <c r="E9" s="33" t="s">
        <v>45</v>
      </c>
      <c r="F9" s="30">
        <f ca="1">IFERROR(IF($H$3=$P$2, CONVERT(SQRT((P13-P12)^2+(Q13-Q12)^2), Q$4, $D$2), CONVERT(SQRT((N13-N12)^2+(O13-O12)^2), O$4, $D$2)), "")</f>
        <v>675.98995367056398</v>
      </c>
      <c r="G9" s="39"/>
      <c r="H9" s="30">
        <f ca="1">IFERROR(IF($H$3=$P$2, CONVERT(SQRT((P16-P15)^2+(Q16-Q15)^2), Q$4, $D$2), CONVERT(SQRT((N16-N15)^2+(O16-O15)^2), O$4, $D$2)), "")</f>
        <v>675.98995367056398</v>
      </c>
      <c r="I9" s="73" t="s">
        <v>45</v>
      </c>
      <c r="K9" s="57">
        <f t="array" aca="1" ref="K9" ca="1">IFERROR(INDEX(INDIRECT("'"&amp;$R$2&amp;"'!"&amp;$K$17&amp;"2:"&amp;$K$17&amp;$K$18), MATCH(O9, IF(INDIRECT("'"&amp;$R$2&amp;"'!"&amp;$N$17&amp;"2:"&amp;$N$17&amp;$K$18)=N9, INDIRECT("'"&amp;$R$2&amp;"'!"&amp;$O$17&amp;"2:"&amp;$O$17&amp;$K$18)), 0)), "")</f>
        <v>4</v>
      </c>
      <c r="L9" s="126" t="s">
        <v>43</v>
      </c>
      <c r="M9" s="82">
        <f ca="1">IFERROR(INDEX(INDIRECT("'"&amp;$R$2&amp;"'!"&amp;$N$17&amp;"2:"&amp;$N$17&amp;$K$18), MATCH(SMALL(INDIRECT("'"&amp;$R$2&amp;"'!"&amp;$O$17&amp;"2:"&amp;$O$17&amp;$K$18), 1), INDIRECT("'"&amp;$R$2&amp;"'!"&amp;$O$17&amp;"2:"&amp;$O$17&amp;$K$18), 0))-AVERAGE(LARGE(INDIRECT("'"&amp;$R$2&amp;"'!"&amp;$N$17&amp;"2:"&amp;$N$17&amp;$K$18), 1), SMALL(INDIRECT("'"&amp;$R$2&amp;"'!"&amp;$N$17&amp;"2:"&amp;$N$17&amp;$K$18), 1)), "")</f>
        <v>525447.76199999999</v>
      </c>
      <c r="N9" s="64">
        <f t="array" aca="1" ref="N9" ca="1">IFERROR(SMALL(IFERROR(IFERROR({1,0}*IF(INDIRECT("'"&amp;$R$2&amp;"'!"&amp;$O$17&amp;"2:"&amp;$O$17&amp;$K$18)=SMALL(INDIRECT("'"&amp;$R$2&amp;"'!"&amp;$O$17&amp;"2:"&amp;$O$17&amp;$K$18), 1),INDIRECT("'"&amp;$R$2&amp;"'!"&amp;$N$17&amp;"2:"&amp;$N$17&amp;$K$18), {"",0}), "")+IF(SMALL(INDIRECT("'"&amp;$R$2&amp;"'!"&amp;$O$17&amp;"2:"&amp;$O$17&amp;$K$18), 1)&lt;&gt;SMALL(INDIRECT("'"&amp;$R$2&amp;"'!"&amp;$O$17&amp;"2:"&amp;$O$17&amp;$K$18), 2), IFERROR({0,1}*IF(INDIRECT("'"&amp;$R$2&amp;"'!"&amp;$O$17&amp;"2:"&amp;$O$17&amp;$K$18)=SMALL(INDIRECT("'"&amp;$R$2&amp;"'!"&amp;$O$17&amp;"2:"&amp;$O$17&amp;$K$18), 2),INDIRECT("'"&amp;$R$2&amp;"'!"&amp;$N$17&amp;"2:"&amp;$N$17&amp;$K$18), ""), {0,""}), {0,""}), ""), 1+IF(AND($M$8, IF(ABS($M$7)&gt;ABS($M$9), $M$7&gt;=0, $M$9&lt;0)), 1, 0)), "")</f>
        <v>-536616.18299999996</v>
      </c>
      <c r="O9" s="65">
        <f t="array" aca="1" ref="O9" ca="1">IFERROR(MIN(IF(INDIRECT("'"&amp;$R$2&amp;"'!"&amp;$N$17&amp;"2:"&amp;$N$17&amp;$K$18)=N9, INDIRECT("'"&amp;$R$2&amp;"'!"&amp;$O$17&amp;"2:"&amp;$O$17&amp;$K$18))), "")</f>
        <v>-530377.08400000003</v>
      </c>
      <c r="P9" s="79" t="str">
        <f ca="1">IFERROR(IF($N$5&lt;&gt;$P$5,INDEX(INDIRECT("'"&amp;$R$2&amp;"'!"&amp;P$17&amp;":"&amp;P$17), MATCH($K9, INDIRECT("'"&amp;$R$2&amp;"'!"&amp;$K$17&amp;":"&amp;$K$17), 0)), ""), "")</f>
        <v/>
      </c>
      <c r="Q9" s="79" t="str">
        <f ca="1">IFERROR(IF($O$5&lt;&gt;$Q$5,INDEX(INDIRECT("'"&amp;$R$2&amp;"'!"&amp;Q$17&amp;":"&amp;Q$17), MATCH($K9, INDIRECT("'"&amp;$R$2&amp;"'!"&amp;$K$17&amp;":"&amp;$K$17), 0)), ""), "")</f>
        <v/>
      </c>
      <c r="R9" s="64">
        <f ca="1">IFERROR(IF(OR(ABS(K9-K10)=1, AND(MIN(K9:K10)=1, MAX(K9:K10)=$M$19)), VALUE(LEFT(INDEX(INDIRECT("'"&amp;$R$2&amp;"'!"&amp;R$17&amp;":"&amp;R$17), MATCH(IF(ABS(K9-K10)=1, MIN(K9:K10), MAX(K9:K10)), INDIRECT("'"&amp;$R$2&amp;"'!"&amp;$K$17&amp;":"&amp;$K$17), 0)), SEARCH(" ", INDEX(INDIRECT("'"&amp;$R$2&amp;"'!"&amp;R$17&amp;":"&amp;R$17), MATCH(IF(ABS(K9-K10)=1, MIN(K9:K10), MAX(K9:K10)), INDIRECT("'"&amp;$R$2&amp;"'!"&amp;$K$17&amp;":"&amp;$K$17), 0))))), ""), "")</f>
        <v>652.25599999999997</v>
      </c>
      <c r="S9" s="75">
        <f ca="1">IFERROR(AVERAGE(CONVERT(VALUE(LEFT(INDIRECT("'"&amp;$R$2&amp;"'!"&amp;S$17&amp;ROW(A13)), SEARCH(" ", INDIRECT("'"&amp;$R$2&amp;"'!"&amp;S$17&amp;ROW(A13)), 2)-1)), U9, U9), CONVERT(VALUE(LEFT(INDIRECT("'"&amp;$R$2&amp;"'!"&amp;S$17&amp;ROW(A14)), SEARCH(" ", INDIRECT("'"&amp;$R$2&amp;"'!"&amp;S$17&amp;ROW(A14)), 2)-1)), U10, U9)), "")</f>
        <v>3443910.1</v>
      </c>
      <c r="T9" s="78">
        <f ca="1">IFERROR(IF(INDIRECT("'"&amp;$R$2&amp;"'!"&amp;T$17&amp;ROW(A13))&lt;&gt;"", INDIRECT("'"&amp;$R$2&amp;"'!"&amp;T$17&amp;ROW(A13)), ""), "")</f>
        <v>85.930560400000005</v>
      </c>
      <c r="U9" s="80" t="str">
        <f ca="1">IFERROR(VLOOKUP(RIGHT(INDIRECT("'"&amp;$R$2&amp;"'!"&amp;S$17&amp;ROW(A13)), LEN(INDIRECT("'"&amp;$R$2&amp;"'!"&amp;S$17&amp;ROW(A13)))-SEARCH(" ", INDIRECT("'"&amp;$R$2&amp;"'!"&amp;S$17&amp;ROW(A13)), 2)), $R$18:$S$19, 2, 0), IFERROR(RIGHT(INDIRECT("'"&amp;$R$2&amp;"'!"&amp;S$17&amp;ROW(A13)), LEN(INDIRECT("'"&amp;$R$2&amp;"'!"&amp;S$17&amp;ROW(A13)))-SEARCH(" ", INDIRECT("'"&amp;$R$2&amp;"'!"&amp;S$17&amp;ROW(A13)), 2)), ""))</f>
        <v>ft</v>
      </c>
      <c r="V9" s="6">
        <f ca="1">IF($F$2="rad", DEGREES(F13), F13)</f>
        <v>90</v>
      </c>
      <c r="W9" s="6">
        <f ca="1">IF($T$4="rad", DEGREES(T9), T9)</f>
        <v>85.930560400000005</v>
      </c>
      <c r="X9" s="83" t="str">
        <f ca="1">IFERROR(IF(ABS(V9-W9)=MIN(ABS(V9-W9), ABS((V9-360)-W9), ABS(V9-(W9-360))), MIN(IFERROR(ABS(V9-$W$9:$W$10), ""), IFERROR(ABS(V9-$W$12:$W$13), ""), IFERROR(ABS(V9-$W$15:$W$16), ""))&lt;&gt;ABS(V9-W9), IF(ABS((V9-360)-W9)=MIN(ABS(V9-W9), ABS((V9-360)-W9), ABS(V9-(W9-360))), MIN(IFERROR(ABS((V9-360)-$W$9:$W$10), ""), IFERROR(ABS((V9-360)-$W$12:$W$13), ""), IFERROR(ABS((V9-360)-$W$15:$W$16), ""))&lt;&gt;ABS((V9-360)-W9),  IF(ABS(V9-(W9-360))=MIN(ABS(V9-W9), ABS((V9-360)-W9), ABS(V9-(W9-360))), MIN(IFERROR(ABS(V9-($W$9:$W$10-360)), ""), IFERROR(ABS(V9-($W$12:$W$13-360)), ""), IFERROR(ABS(V9-($W$15:$W$16-360)), ""))&lt;&gt;ABS(V9-(W9-360)), TRUE))), "")</f>
        <v/>
      </c>
    </row>
    <row r="10" spans="1:25" ht="14.4" customHeight="1" x14ac:dyDescent="0.35">
      <c r="A10" s="32" t="s">
        <v>50</v>
      </c>
      <c r="B10" s="31">
        <f ca="1">IFERROR(IF($F$2="rad", RADIANS(T13), T13), "")</f>
        <v>355.51920630000001</v>
      </c>
      <c r="C10" s="38"/>
      <c r="D10" s="32">
        <f ca="1">IFERROR(IF($F$2="rad", RADIANS(T16), T16), "")</f>
        <v>4.2956294000000002</v>
      </c>
      <c r="E10" s="32" t="s">
        <v>50</v>
      </c>
      <c r="F10" s="32">
        <f ca="1">IFERROR(IF($H$3=$P$2, IF($F$2="rad", ATAN2(Q13-Q12, P13-P12)+PI(), DEGREES(ATAN2(Q13-Q12, P13-P12))+180), IF($F$2="rad", ATAN2(O13-O12, N13-N12)+PI(), DEGREES(ATAN2(O13-O12, N13-N12))+180)), "")</f>
        <v>360</v>
      </c>
      <c r="G10" s="38"/>
      <c r="H10" s="32">
        <f ca="1">IFERROR(IF($H$3=$P$2, IF($F$2="rad", ATAN2(Q16-Q15, P16-P15)+PI(), DEGREES(ATAN2(Q16-Q15, P16-P15))+180), IF($F$2="rad", ATAN2(O16-O15, N16-N15)+PI(), DEGREES(ATAN2(O16-O15, N16-N15))+180)), "")</f>
        <v>360</v>
      </c>
      <c r="I10" s="32" t="s">
        <v>50</v>
      </c>
      <c r="J10" s="80"/>
      <c r="K10" s="57">
        <f t="array" aca="1" ref="K10" ca="1">IFERROR(INDEX(INDIRECT("'"&amp;$R$2&amp;"'!"&amp;$K$17&amp;"2:"&amp;$K$17&amp;$K$18), MATCH(O10, IF(INDIRECT("'"&amp;$R$2&amp;"'!"&amp;$N$17&amp;"2:"&amp;$N$17&amp;$K$18)=N10, INDIRECT("'"&amp;$R$2&amp;"'!"&amp;$O$17&amp;"2:"&amp;$O$17&amp;$K$18)), 0)), "")</f>
        <v>3</v>
      </c>
      <c r="L10" s="126"/>
      <c r="M10" s="79" t="str">
        <f ca="1">IFERROR(IF(ATAN2(O9-O10, N9-N10)+PI()&gt;PI()/2, "Left", IF(ATAN2(O9-O10, N9-N10)+PI()&lt;PI()/2, "Right", "None")), "")</f>
        <v>None</v>
      </c>
      <c r="N10" s="64">
        <f t="array" aca="1" ref="N10" ca="1">IFERROR(SMALL(IFERROR(IFERROR({1,0}*IF(INDIRECT("'"&amp;$R$2&amp;"'!"&amp;$O$17&amp;"2:"&amp;$O$17&amp;$K$18)=SMALL(INDIRECT("'"&amp;$R$2&amp;"'!"&amp;$O$17&amp;"2:"&amp;$O$17&amp;$K$18), 1),INDIRECT("'"&amp;$R$2&amp;"'!"&amp;$N$17&amp;"2:"&amp;$N$17&amp;$K$18), {"",0}), "")+IF(SMALL(INDIRECT("'"&amp;$R$2&amp;"'!"&amp;$O$17&amp;"2:"&amp;$O$17&amp;$K$18), 1)&lt;&gt;SMALL(INDIRECT("'"&amp;$R$2&amp;"'!"&amp;$O$17&amp;"2:"&amp;$O$17&amp;$K$18), 2), IFERROR({0,1}*IF(INDIRECT("'"&amp;$R$2&amp;"'!"&amp;$O$17&amp;"2:"&amp;$O$17&amp;$K$18)=SMALL(INDIRECT("'"&amp;$R$2&amp;"'!"&amp;$O$17&amp;"2:"&amp;$O$17&amp;$K$18), 2),INDIRECT("'"&amp;$R$2&amp;"'!"&amp;$N$17&amp;"2:"&amp;$N$17&amp;$K$18), ""), {0,""}), {0,""}), ""), 2+IF(AND($M$8, IF(ABS($M$7)&gt;ABS($M$9), $M$7&gt;=0, $M$9&lt;0)), 1, 0)), "")</f>
        <v>514279.34100000001</v>
      </c>
      <c r="O10" s="65">
        <f t="array" aca="1" ref="O10" ca="1">IFERROR(MIN(IF(INDIRECT("'"&amp;$R$2&amp;"'!"&amp;$N$17&amp;"2:"&amp;$N$17&amp;$K$18)=N10, INDIRECT("'"&amp;$R$2&amp;"'!"&amp;$O$17&amp;"2:"&amp;$O$17&amp;$K$18))), "")</f>
        <v>-530377.08400000003</v>
      </c>
      <c r="P10" s="79" t="str">
        <f ca="1">IFERROR(IF($N$5&lt;&gt;$P$5,INDEX(INDIRECT("'"&amp;$R$2&amp;"'!"&amp;P$17&amp;":"&amp;P$17), MATCH($K10, INDIRECT("'"&amp;$R$2&amp;"'!"&amp;$K$17&amp;":"&amp;$K$17), 0)), ""), "")</f>
        <v/>
      </c>
      <c r="Q10" s="79" t="str">
        <f ca="1">IFERROR(IF($O$5&lt;&gt;$Q$5,INDEX(INDIRECT("'"&amp;$R$2&amp;"'!"&amp;Q$17&amp;":"&amp;Q$17), MATCH($K10, INDIRECT("'"&amp;$R$2&amp;"'!"&amp;$K$17&amp;":"&amp;$K$17), 0)), ""), "")</f>
        <v/>
      </c>
      <c r="R10" s="64" t="str">
        <f ca="1">IFERROR(IF($R$4="", IFERROR(VLOOKUP(IF(OR(ABS(K9-K10)=1, AND(MIN(K9:K10)=1, MAX(K9:K10)=$M$19)), RIGHT(INDEX(INDIRECT("'"&amp;$R$2&amp;"'!"&amp;R$17&amp;":"&amp;R$17), MATCH(IF(ABS(K9-K10)=1, MIN(K9:K10), MAX(K9:K10)), INDIRECT("'"&amp;$R$2&amp;"'!"&amp;$K$17&amp;":"&amp;$K$17), 0)), LEN(INDEX(INDIRECT("'"&amp;$R$2&amp;"'!"&amp;R$17&amp;":"&amp;R$17), MATCH(IF(ABS(K9-K10)=1, MIN(K9:K10), MAX(K9:K10)), INDIRECT("'"&amp;$R$2&amp;"'!"&amp;$K$17&amp;":"&amp;$K$17), 0)))-SEARCH(" ", INDEX(INDIRECT("'"&amp;$R$2&amp;"'!"&amp;R$17&amp;":"&amp;R$17), MATCH(IF(ABS(K9-K10)=1, MIN(K9:K10), MAX(K9:K10)), INDIRECT("'"&amp;$R$2&amp;"'!"&amp;$K$17&amp;":"&amp;$K$17), 0)))), ""), $R$18:$S$19, 2, 0), IF(OR(ABS(K9-K10)=1, AND(MIN(K9:K10)=1, MAX(K9:K10)=$M$19)), RIGHT(INDEX(INDIRECT("'"&amp;$R$2&amp;"'!"&amp;R$17&amp;":"&amp;R$17), MATCH(IF(ABS(K9-K10)=1, MIN(K9:K10), MAX(K9:K10)), INDIRECT("'"&amp;$R$2&amp;"'!"&amp;$K$17&amp;":"&amp;$K$17), 0)), LEN(INDEX(INDIRECT("'"&amp;$R$2&amp;"'!"&amp;R$17&amp;":"&amp;R$17), MATCH(IF(ABS(K9-K10)=1, MIN(K9:K10), MAX(K9:K10)), INDIRECT("'"&amp;$R$2&amp;"'!"&amp;$K$17&amp;":"&amp;$K$17), 0)))-SEARCH(" ", INDEX(INDIRECT("'"&amp;$R$2&amp;"'!"&amp;R$17&amp;":"&amp;R$17), MATCH(IF(ABS(K9-K10)=1, MIN(K9:K10), MAX(K9:K10)), INDIRECT("'"&amp;$R$2&amp;"'!"&amp;$K$17&amp;":"&amp;$K$17), 0)))), "")), $R$4), "")</f>
        <v>mi</v>
      </c>
      <c r="S10" s="75" t="str">
        <f ca="1">IF(OR($S$4="", $S$4="Units"), U9, $S$4)</f>
        <v>ft</v>
      </c>
      <c r="T10" s="78">
        <f ca="1">IFERROR(IF(INDIRECT("'"&amp;$R$2&amp;"'!"&amp;T$17&amp;ROW(A14))&lt;&gt;"", INDIRECT("'"&amp;$R$2&amp;"'!"&amp;T$17&amp;ROW(A14)), ""), "")</f>
        <v>273.90132549999998</v>
      </c>
      <c r="U10" s="80" t="str">
        <f ca="1">IFERROR(VLOOKUP(RIGHT(INDIRECT("'"&amp;$R$2&amp;"'!"&amp;S$17&amp;ROW(A14)), LEN(INDIRECT("'"&amp;$R$2&amp;"'!"&amp;S$17&amp;ROW(A14)))-SEARCH(" ", INDIRECT("'"&amp;$R$2&amp;"'!"&amp;S$17&amp;ROW(A14)), 2)), $R$18:$S$19, 2, 0), IFERROR(RIGHT(INDIRECT("'"&amp;$R$2&amp;"'!"&amp;S$17&amp;ROW(A14)), LEN(INDIRECT("'"&amp;$R$2&amp;"'!"&amp;S$17&amp;ROW(A14)))-SEARCH(" ", INDIRECT("'"&amp;$R$2&amp;"'!"&amp;S$17&amp;ROW(A14)), 2)), ""))</f>
        <v>ft</v>
      </c>
      <c r="V10" s="6">
        <f ca="1">IF($F$2="rad", DEGREES(H13), H13)</f>
        <v>270</v>
      </c>
      <c r="W10" s="6">
        <f ca="1">IF($T$4="rad", DEGREES(T10), T10)</f>
        <v>273.90132549999998</v>
      </c>
      <c r="X10" s="83" t="str">
        <f ca="1">IFERROR(IF(ABS(V10-W10)=MIN(ABS(V10-W10), ABS((V10-360)-W10), ABS(V10-(W10-360))), MIN(IFERROR(ABS(V10-$W$9:$W$10), ""), IFERROR(ABS(V10-$W$12:$W$13), ""), IFERROR(ABS(V10-$W$15:$W$16), ""))&lt;&gt;ABS(V10-W10), IF(ABS((V10-360)-W10)=MIN(ABS(V10-W10), ABS((V10-360)-W10), ABS(V10-(W10-360))), MIN(IFERROR(ABS((V10-360)-$W$9:$W$10), ""), IFERROR(ABS((V10-360)-$W$12:$W$13), ""), IFERROR(ABS((V10-360)-$W$15:$W$16), ""))&lt;&gt;ABS((V10-360)-W10),  IF(ABS(V10-(W10-360))=MIN(ABS(V10-W10), ABS((V10-360)-W10), ABS(V10-(W10-360))), MIN(IFERROR(ABS(V10-($W$9:$W$10-360)), ""), IFERROR(ABS(V10-($W$12:$W$13-360)), ""), IFERROR(ABS(V10-($W$15:$W$16-360)), ""))&lt;&gt;ABS(V10-(W10-360)), TRUE))), "")</f>
        <v/>
      </c>
    </row>
    <row r="11" spans="1:25" ht="15" thickBot="1" x14ac:dyDescent="0.4">
      <c r="A11" s="27"/>
      <c r="B11" s="27"/>
      <c r="C11" s="40"/>
      <c r="D11" s="27"/>
      <c r="E11" s="28"/>
      <c r="F11" s="27"/>
      <c r="G11" s="40"/>
      <c r="H11" s="27"/>
      <c r="I11" s="28"/>
      <c r="K11" s="32"/>
      <c r="L11" s="57"/>
      <c r="M11" s="60"/>
      <c r="N11" s="64"/>
      <c r="O11" s="65"/>
      <c r="P11" s="25"/>
      <c r="Q11" s="25"/>
      <c r="R11" s="64"/>
      <c r="S11" s="75"/>
      <c r="T11" s="57"/>
      <c r="U11" s="80"/>
      <c r="V11" s="6"/>
      <c r="W11" s="6"/>
      <c r="X11" s="83"/>
    </row>
    <row r="12" spans="1:25" x14ac:dyDescent="0.35">
      <c r="A12" s="34" t="s">
        <v>64</v>
      </c>
      <c r="B12" s="34">
        <f ca="1">IFERROR(B13-B10+IF(B13-B10&lt;0, IF($F$2="rad", RADIANS(360), 360), 0), IF(AND(C42="Great Circle", B37="Great Circle"), IF(F2="rad", RADIANS(90), 90), ""))</f>
        <v>90.411354099999983</v>
      </c>
      <c r="C12" s="33">
        <f ca="1">IFERROR(IF(ISNUMBER($S$9), CONVERT($S$9, $S$10, $D$2), CONVERT($R$9, $R$10, $D$2)), "")</f>
        <v>652.25570075757571</v>
      </c>
      <c r="D12" s="34">
        <f ca="1">IFERROR(D10-D13+IF(D10-D13&lt;0, IF($F$2="rad", RADIANS(360), 360), 0), IF(AND(C42="Great Circle", D37="Great Circle"), IF(F2="rad", RADIANS(90), 90), ""))</f>
        <v>90.394303900000011</v>
      </c>
      <c r="E12" s="36" t="s">
        <v>64</v>
      </c>
      <c r="F12" s="34">
        <f ca="1">IFERROR(F13-F10+IF(F13-F10&lt;0, IF($F$2="rad", RADIANS(360), 360), 0), "")</f>
        <v>90</v>
      </c>
      <c r="G12" s="30">
        <f ca="1">IFERROR(IF($H$3=$P$2, CONVERT(SQRT((P10-P9)^2+(Q10-Q9)^2), Q$4, $D$2), CONVERT(SQRT((N10-N9)^2+(O10-O9)^2), O$4, $D$2)), "")</f>
        <v>652.99620466475778</v>
      </c>
      <c r="H12" s="34">
        <f ca="1">IFERROR(H10-H13+IF(H10-H13&lt;0, IF($F$2="rad", RADIANS(360), 360), 0), "")</f>
        <v>90</v>
      </c>
      <c r="I12" s="36" t="s">
        <v>64</v>
      </c>
      <c r="J12" s="80"/>
      <c r="K12" s="57">
        <f t="array" aca="1" ref="K12" ca="1">IFERROR(INDEX(INDIRECT("'"&amp;$R$2&amp;"'!"&amp;$K$17&amp;"2:"&amp;$K$17&amp;$K$18), MATCH(O12, IF(INDIRECT("'"&amp;$R$2&amp;"'!"&amp;$N$17&amp;"2:"&amp;$N$17&amp;$K$18)=N12, INDIRECT("'"&amp;$R$2&amp;"'!"&amp;$O$17&amp;"2:"&amp;$O$17&amp;$K$18)), 0)), "")</f>
        <v>1</v>
      </c>
      <c r="L12" s="126" t="s">
        <v>44</v>
      </c>
      <c r="M12" s="79" t="str">
        <f ca="1">IFERROR(IF(ATAN2(O12-O13, N12-N13)+PI()&gt;PI(), "Top", IF(ATAN2(O12-O13, N12-N13)+PI()&lt;PI(), "Bottom", "None")), "")</f>
        <v>None</v>
      </c>
      <c r="N12" s="64">
        <f t="array" aca="1" ref="N12" ca="1">IFERROR(MIN(IF(INDIRECT("'"&amp;$R$2&amp;"'!"&amp;$O$17&amp;"2:"&amp;$O$17&amp;$K$18)=O12, INDIRECT("'"&amp;$R$2&amp;"'!"&amp;$N$17&amp;"2:"&amp;$N$17&amp;$K$18))), "")</f>
        <v>-536616.18299999996</v>
      </c>
      <c r="O12" s="65">
        <f t="array" aca="1" ref="O12" ca="1">IFERROR(LARGE(IFERROR(IFERROR({1,0}*IF(INDIRECT("'"&amp;$R$2&amp;"'!"&amp;$N$17&amp;"2:"&amp;$N$17&amp;$K$18)=SMALL(INDIRECT("'"&amp;$R$2&amp;"'!"&amp;$N$17&amp;"2:"&amp;$N$17&amp;$K$18), 1),INDIRECT("'"&amp;$R$2&amp;"'!"&amp;$O$17&amp;"2:"&amp;$O$17&amp;$K$18), {"",0}), "")+IF(SMALL(INDIRECT("'"&amp;$R$2&amp;"'!"&amp;$N$17&amp;"2:"&amp;$N$17&amp;$K$18), 1)&lt;&gt;SMALL(INDIRECT("'"&amp;$R$2&amp;"'!"&amp;$N$17&amp;"2:"&amp;$N$17&amp;$K$18), 2), IFERROR({0,1}*IF(INDIRECT("'"&amp;$R$2&amp;"'!"&amp;$N$17&amp;"2:"&amp;$N$17&amp;$K$18)=SMALL(INDIRECT("'"&amp;$R$2&amp;"'!"&amp;$N$17&amp;"2:"&amp;$N$17&amp;$K$18), 2),INDIRECT("'"&amp;$R$2&amp;"'!"&amp;$O$17&amp;"2:"&amp;$O$17&amp;$K$18), ""), {0,""}), {0,""}), ""), 1+IF(AND($M$14, IF(AND($M$8, $M$14, (ABS($M$7)=$M$7)&lt;&gt;(ABS($M$13)=$M$13)), IF(ABS($M$13)&gt;ABS($M$15), $M$13&lt;0, $M$15&gt;=0), IF(ABS($M$13)&gt;ABS($M$15), $M$13&gt;=0, $M$15&lt;0))), 1, 0)), "")</f>
        <v>557523.29200000002</v>
      </c>
      <c r="P12" s="79" t="str">
        <f ca="1">IFERROR(IF($N$5&lt;&gt;$P$5,INDEX(INDIRECT("'"&amp;$R$2&amp;"'!"&amp;P$17&amp;":"&amp;P$17), MATCH($K12, INDIRECT("'"&amp;$R$2&amp;"'!"&amp;$K$17&amp;":"&amp;$K$17), 0)), ""), "")</f>
        <v/>
      </c>
      <c r="Q12" s="79" t="str">
        <f ca="1">IFERROR(IF($O$5&lt;&gt;$Q$5,INDEX(INDIRECT("'"&amp;$R$2&amp;"'!"&amp;Q$17&amp;":"&amp;Q$17), MATCH($K12, INDIRECT("'"&amp;$R$2&amp;"'!"&amp;$K$17&amp;":"&amp;$K$17), 0)), ""), "")</f>
        <v/>
      </c>
      <c r="R12" s="64">
        <f ca="1">IFERROR(IF(OR(ABS(K12-K13)=1, AND(MIN(K12:K13)=1, MAX(K12:K13)=$M$19)), VALUE(LEFT(INDEX(INDIRECT("'"&amp;$R$2&amp;"'!"&amp;R$17&amp;":"&amp;R$17), MATCH(IF(ABS(K12-K13)=1, MIN(K12:K13), MAX(K12:K13)), INDIRECT("'"&amp;$R$2&amp;"'!"&amp;$K$17&amp;":"&amp;$K$17), 0)), SEARCH(" ", INDEX(INDIRECT("'"&amp;$R$2&amp;"'!"&amp;R$17&amp;":"&amp;R$17), MATCH(IF(ABS(K12-K13)=1, MIN(K12:K13), MAX(K12:K13)), INDIRECT("'"&amp;$R$2&amp;"'!"&amp;$K$17&amp;":"&amp;$K$17), 0))))), ""), "")</f>
        <v>673.59699999999998</v>
      </c>
      <c r="S12" s="75">
        <f ca="1">IFERROR(AVERAGE(CONVERT(VALUE(LEFT(INDIRECT("'"&amp;$R$2&amp;"'!"&amp;S$17&amp;ROW(A16)), SEARCH(" ", INDIRECT("'"&amp;$R$2&amp;"'!"&amp;S$17&amp;ROW(A16)), 2)-1)), U12, U12), CONVERT(VALUE(LEFT(INDIRECT("'"&amp;$R$2&amp;"'!"&amp;S$17&amp;ROW(A17)), SEARCH(" ", INDIRECT("'"&amp;$R$2&amp;"'!"&amp;S$17&amp;ROW(A17)), 2)-1)), U13, U12)), "")</f>
        <v>3556594.6</v>
      </c>
      <c r="T12" s="78">
        <f ca="1">IFERROR(IF(INDIRECT("'"&amp;$R$2&amp;"'!"&amp;T$17&amp;ROW(A16))&lt;&gt;"", INDIRECT("'"&amp;$R$2&amp;"'!"&amp;T$17&amp;ROW(A16)), ""), "")</f>
        <v>174.68687650000001</v>
      </c>
      <c r="U12" s="80" t="str">
        <f ca="1">IFERROR(VLOOKUP(RIGHT(INDIRECT("'"&amp;$R$2&amp;"'!"&amp;S$17&amp;ROW(A16)), LEN(INDIRECT("'"&amp;$R$2&amp;"'!"&amp;S$17&amp;ROW(A16)))-SEARCH(" ", INDIRECT("'"&amp;$R$2&amp;"'!"&amp;S$17&amp;ROW(A16)), 2)), $R$18:$S$19, 2, 0), IFERROR(RIGHT(INDIRECT("'"&amp;$R$2&amp;"'!"&amp;S$17&amp;ROW(A16)), LEN(INDIRECT("'"&amp;$R$2&amp;"'!"&amp;S$17&amp;ROW(A16)))-SEARCH(" ", INDIRECT("'"&amp;$R$2&amp;"'!"&amp;S$17&amp;ROW(A16)), 2)), ""))</f>
        <v>ft</v>
      </c>
      <c r="V12" s="6">
        <f ca="1">IF($F$2="rad", DEGREES(F8), F8)</f>
        <v>180</v>
      </c>
      <c r="W12" s="6">
        <f ca="1">IF($T$4="rad", DEGREES(T12), T12)</f>
        <v>174.68687650000001</v>
      </c>
      <c r="X12" s="83" t="str">
        <f ca="1">IFERROR(IF(ABS(V12-W12)=MIN(ABS(V12-W12), ABS((V12-360)-W12), ABS(V12-(W12-360))), MIN(IFERROR(ABS(V12-$W$12:$W$13), ""), IFERROR(ABS(V12-$W$6:$W$7), ""), IFERROR(ABS(V12-$W$9:$W$10), ""))&lt;&gt;ABS(V12-W12), IF(ABS((V12-360)-W12)=MIN(ABS(V12-W12), ABS((V12-360)-W12), ABS(V12-(W12-360))), MIN(IFERROR(ABS((V12-360)-$W$12:$W$13), ""), IFERROR(ABS((V12-360)-$W$6:$W$7), ""), IFERROR(ABS((V12-360)-$W$9:$W$10), ""))&lt;&gt;ABS((V12-360)-W12),  IF(ABS(V12-(W12-360))=MIN(ABS(V12-W12), ABS((V12-360)-W12), ABS(V12-(W12-360))), MIN(IFERROR(ABS(V12-($W$12:$W$13-360)), ""), IFERROR(ABS(V12-($W$6:$W$7-360)), ""), IFERROR(ABS(V12-($W$9:$W$10-360)), ""))&lt;&gt;ABS(V12-(W12-360)), TRUE))), "")</f>
        <v/>
      </c>
    </row>
    <row r="13" spans="1:25" x14ac:dyDescent="0.35">
      <c r="A13" s="32" t="s">
        <v>50</v>
      </c>
      <c r="B13" s="31">
        <f ca="1">IFERROR(IF($F$2="rad", RADIANS(T9), T9), "")</f>
        <v>85.930560400000005</v>
      </c>
      <c r="C13" s="32"/>
      <c r="D13" s="31">
        <f ca="1">IFERROR(IF($F$2="rad", RADIANS(T10), T10), "")</f>
        <v>273.90132549999998</v>
      </c>
      <c r="E13" s="32" t="s">
        <v>50</v>
      </c>
      <c r="F13" s="32">
        <f ca="1">IFERROR(IF($H$3=$P$2, IF($F$2="rad", ATAN2(Q9-Q10, P9-P10)+PI(), DEGREES(ATAN2(Q9-Q10, P9-P10))+180), IF($F$2="rad", ATAN2(O9-O10, N9-N10)+PI(), DEGREES(ATAN2(O9-O10, N9-N10))+180)), "")</f>
        <v>90</v>
      </c>
      <c r="H13" s="31">
        <f ca="1">IFERROR(IF($H$3=$P$2, IF($F$2="rad", ATAN2(Q10-Q9, P10-P9)+PI(), DEGREES(ATAN2(Q10-Q9, P10-P9))+180), IF($F$2="rad", ATAN2(O10-O9, N10-N9)+PI(), DEGREES(ATAN2(O10-O9, N10-N9))+180)), "")</f>
        <v>270</v>
      </c>
      <c r="I13" s="32" t="s">
        <v>50</v>
      </c>
      <c r="K13" s="57">
        <f t="array" aca="1" ref="K13" ca="1">IFERROR(INDEX(INDIRECT("'"&amp;$R$2&amp;"'!"&amp;$K$17&amp;"2:"&amp;$K$17&amp;$K$18), MATCH(O13, IF(INDIRECT("'"&amp;$R$2&amp;"'!"&amp;$N$17&amp;"2:"&amp;$N$17&amp;$K$18)=N13, INDIRECT("'"&amp;$R$2&amp;"'!"&amp;$O$17&amp;"2:"&amp;$O$17&amp;$K$18)), 0)), "")</f>
        <v>4</v>
      </c>
      <c r="L13" s="126"/>
      <c r="M13" s="82">
        <f ca="1">IFERROR(INDEX(INDIRECT("'"&amp;$R$2&amp;"'!"&amp;$O$17&amp;"2:"&amp;$O$17&amp;$K$18), MATCH(SMALL(INDIRECT("'"&amp;$R$2&amp;"'!"&amp;$N$17&amp;"2:"&amp;$N$17&amp;$K$18), 1), INDIRECT("'"&amp;$R$2&amp;"'!"&amp;$N$17&amp;"2:"&amp;$N$17&amp;$K$18), 0))-AVERAGE(LARGE(INDIRECT("'"&amp;$R$2&amp;"'!"&amp;$O$17&amp;"2:"&amp;$O$17&amp;$K$18), 1), SMALL(INDIRECT("'"&amp;$R$2&amp;"'!"&amp;$O$17&amp;"2:"&amp;$O$17&amp;$K$18), 1)), "")</f>
        <v>543950.18800000008</v>
      </c>
      <c r="N13" s="64">
        <f t="array" aca="1" ref="N13" ca="1">IFERROR(MIN(IF(INDIRECT("'"&amp;$R$2&amp;"'!"&amp;$O$17&amp;"2:"&amp;$O$17&amp;$K$18)=O13, INDIRECT("'"&amp;$R$2&amp;"'!"&amp;$N$17&amp;"2:"&amp;$N$17&amp;$K$18))), "")</f>
        <v>-536616.18299999996</v>
      </c>
      <c r="O13" s="65">
        <f t="array" aca="1" ref="O13" ca="1">IFERROR(LARGE(IFERROR(IFERROR({1,0}*IF(INDIRECT("'"&amp;$R$2&amp;"'!"&amp;$N$17&amp;"2:"&amp;$N$17&amp;$K$18)=SMALL(INDIRECT("'"&amp;$R$2&amp;"'!"&amp;$N$17&amp;"2:"&amp;$N$17&amp;$K$18), 1),INDIRECT("'"&amp;$R$2&amp;"'!"&amp;$O$17&amp;"2:"&amp;$O$17&amp;$K$18), {"",0}), "")+IF(SMALL(INDIRECT("'"&amp;$R$2&amp;"'!"&amp;$N$17&amp;"2:"&amp;$N$17&amp;$K$18), 1)&lt;&gt;SMALL(INDIRECT("'"&amp;$R$2&amp;"'!"&amp;$N$17&amp;"2:"&amp;$N$17&amp;$K$18), 2), IFERROR({0,1}*IF(INDIRECT("'"&amp;$R$2&amp;"'!"&amp;$N$17&amp;"2:"&amp;$N$17&amp;$K$18)=SMALL(INDIRECT("'"&amp;$R$2&amp;"'!"&amp;$N$17&amp;"2:"&amp;$N$17&amp;$K$18), 2),INDIRECT("'"&amp;$R$2&amp;"'!"&amp;$O$17&amp;"2:"&amp;$O$17&amp;$K$18), ""), {0,""}), {0,""}), ""), 2+IF(AND($M$14, IF(AND($M$8, $M$14, (ABS($M$7)=$M$7)&lt;&gt;(ABS($M$13)=$M$13)), IF(ABS($M$13)&gt;ABS($M$15), $M$13&lt;0, $M$15&gt;=0), IF(ABS($M$13)&gt;ABS($M$15), $M$13&gt;=0, $M$15&lt;0))), 1, 0)), "")</f>
        <v>-530377.08400000003</v>
      </c>
      <c r="P13" s="79" t="str">
        <f ca="1">IFERROR(IF($N$5&lt;&gt;$P$5,INDEX(INDIRECT("'"&amp;$R$2&amp;"'!"&amp;P$17&amp;":"&amp;P$17), MATCH($K13, INDIRECT("'"&amp;$R$2&amp;"'!"&amp;$K$17&amp;":"&amp;$K$17), 0)), ""), "")</f>
        <v/>
      </c>
      <c r="Q13" s="79" t="str">
        <f ca="1">IFERROR(IF($O$5&lt;&gt;$Q$5,INDEX(INDIRECT("'"&amp;$R$2&amp;"'!"&amp;Q$17&amp;":"&amp;Q$17), MATCH($K13, INDIRECT("'"&amp;$R$2&amp;"'!"&amp;$K$17&amp;":"&amp;$K$17), 0)), ""), "")</f>
        <v/>
      </c>
      <c r="R13" s="64" t="str">
        <f ca="1">IFERROR(IF($R$4="", IFERROR(VLOOKUP(IF(OR(ABS(K12-K13)=1, AND(MIN(K12:K13)=1, MAX(K12:K13)=$M$19)), RIGHT(INDEX(INDIRECT("'"&amp;$R$2&amp;"'!"&amp;R$17&amp;":"&amp;R$17), MATCH(IF(ABS(K12-K13)=1, MIN(K12:K13), MAX(K12:K13)), INDIRECT("'"&amp;$R$2&amp;"'!"&amp;$K$17&amp;":"&amp;$K$17), 0)), LEN(INDEX(INDIRECT("'"&amp;$R$2&amp;"'!"&amp;R$17&amp;":"&amp;R$17), MATCH(IF(ABS(K12-K13)=1, MIN(K12:K13), MAX(K12:K13)), INDIRECT("'"&amp;$R$2&amp;"'!"&amp;$K$17&amp;":"&amp;$K$17), 0)))-SEARCH(" ", INDEX(INDIRECT("'"&amp;$R$2&amp;"'!"&amp;R$17&amp;":"&amp;R$17), MATCH(IF(ABS(K12-K13)=1, MIN(K12:K13), MAX(K12:K13)), INDIRECT("'"&amp;$R$2&amp;"'!"&amp;$K$17&amp;":"&amp;$K$17), 0)))), ""), $R$18:$S$19, 2, 0), IF(OR(ABS(K12-K13)=1, AND(MIN(K12:K13)=1, MAX(K12:K13)=$M$19)), RIGHT(INDEX(INDIRECT("'"&amp;$R$2&amp;"'!"&amp;R$17&amp;":"&amp;R$17), MATCH(IF(ABS(K12-K13)=1, MIN(K12:K13), MAX(K12:K13)), INDIRECT("'"&amp;$R$2&amp;"'!"&amp;$K$17&amp;":"&amp;$K$17), 0)), LEN(INDEX(INDIRECT("'"&amp;$R$2&amp;"'!"&amp;R$17&amp;":"&amp;R$17), MATCH(IF(ABS(K12-K13)=1, MIN(K12:K13), MAX(K12:K13)), INDIRECT("'"&amp;$R$2&amp;"'!"&amp;$K$17&amp;":"&amp;$K$17), 0)))-SEARCH(" ", INDEX(INDIRECT("'"&amp;$R$2&amp;"'!"&amp;R$17&amp;":"&amp;R$17), MATCH(IF(ABS(K12-K13)=1, MIN(K12:K13), MAX(K12:K13)), INDIRECT("'"&amp;$R$2&amp;"'!"&amp;$K$17&amp;":"&amp;$K$17), 0)))), "")), $R$4), "")</f>
        <v>mi</v>
      </c>
      <c r="S13" s="75" t="str">
        <f ca="1">IF(OR($S$4="", $S$4="Units"), U12, $S$4)</f>
        <v>ft</v>
      </c>
      <c r="T13" s="78">
        <f ca="1">IFERROR(IF(INDIRECT("'"&amp;$R$2&amp;"'!"&amp;T$17&amp;ROW(A17))&lt;&gt;"", INDIRECT("'"&amp;$R$2&amp;"'!"&amp;T$17&amp;ROW(A17)), ""), "")</f>
        <v>355.51920630000001</v>
      </c>
      <c r="U13" s="80" t="str">
        <f ca="1">IFERROR(VLOOKUP(RIGHT(INDIRECT("'"&amp;$R$2&amp;"'!"&amp;S$17&amp;ROW(A17)), LEN(INDIRECT("'"&amp;$R$2&amp;"'!"&amp;S$17&amp;ROW(A17)))-SEARCH(" ", INDIRECT("'"&amp;$R$2&amp;"'!"&amp;S$17&amp;ROW(A17)), 2)), $R$18:$S$19, 2, 0), IFERROR(RIGHT(INDIRECT("'"&amp;$R$2&amp;"'!"&amp;S$17&amp;ROW(A17)), LEN(INDIRECT("'"&amp;$R$2&amp;"'!"&amp;S$17&amp;ROW(A17)))-SEARCH(" ", INDIRECT("'"&amp;$R$2&amp;"'!"&amp;S$17&amp;ROW(A17)), 2)), ""))</f>
        <v>ft</v>
      </c>
      <c r="V13" s="6">
        <f ca="1">IF($F$2="rad", DEGREES(F10), F10)</f>
        <v>360</v>
      </c>
      <c r="W13" s="6">
        <f ca="1">IF($T$4="rad", DEGREES(T13), T13)</f>
        <v>355.51920630000001</v>
      </c>
      <c r="X13" s="83" t="str">
        <f ca="1">IFERROR(IF(ABS(V13-W13)=MIN(ABS(V13-W13), ABS((V13-360)-W13), ABS(V13-(W13-360))), MIN(IFERROR(ABS(V13-$W$12:$W$13), ""), IFERROR(ABS(V13-$W$6:$W$7), ""), IFERROR(ABS(V13-$W$9:$W$10), ""))&lt;&gt;ABS(V13-W13), IF(ABS((V13-360)-W13)=MIN(ABS(V13-W13), ABS((V13-360)-W13), ABS(V13-(W13-360))), MIN(IFERROR(ABS((V13-360)-$W$12:$W$13), ""), IFERROR(ABS((V13-360)-$W$6:$W$7), ""), IFERROR(ABS((V13-360)-$W$9:$W$10), ""))&lt;&gt;ABS((V13-360)-W13),  IF(ABS(V13-(W13-360))=MIN(ABS(V13-W13), ABS((V13-360)-W13), ABS(V13-(W13-360))), MIN(IFERROR(ABS(V13-($W$12:$W$13-360)), ""), IFERROR(ABS(V13-($W$6:$W$7-360)), ""), IFERROR(ABS(V13-($W$9:$W$10-360)), ""))&lt;&gt;ABS(V13-(W13-360)), TRUE))), "")</f>
        <v/>
      </c>
    </row>
    <row r="14" spans="1:25" x14ac:dyDescent="0.35">
      <c r="B14" s="24" t="s">
        <v>44</v>
      </c>
      <c r="C14" s="24" t="s">
        <v>43</v>
      </c>
      <c r="D14" s="24" t="s">
        <v>42</v>
      </c>
      <c r="F14" s="24" t="s">
        <v>44</v>
      </c>
      <c r="G14" s="24" t="s">
        <v>43</v>
      </c>
      <c r="H14" s="24" t="s">
        <v>42</v>
      </c>
      <c r="K14" s="32"/>
      <c r="L14" s="84" t="s">
        <v>75</v>
      </c>
      <c r="M14" s="85" t="b">
        <f ca="1">IFERROR(SMALL(INDIRECT("'"&amp;$R$2&amp;"'!"&amp;$N$17&amp;"2:"&amp;$N$17&amp;$K$18), 2)=SMALL(INDIRECT("'"&amp;$R$2&amp;"'!"&amp;$N$17&amp;"2:"&amp;$N$17&amp;$K$18), 3), "")</f>
        <v>0</v>
      </c>
      <c r="N14" s="64"/>
      <c r="O14" s="67"/>
      <c r="P14" s="25"/>
      <c r="Q14" s="25"/>
      <c r="R14" s="64"/>
      <c r="S14" s="75"/>
      <c r="T14" s="57"/>
      <c r="U14" s="80"/>
      <c r="V14" s="6"/>
      <c r="W14" s="6"/>
      <c r="X14" s="83"/>
    </row>
    <row r="15" spans="1:25" x14ac:dyDescent="0.35">
      <c r="B15" s="97"/>
      <c r="C15" s="97"/>
      <c r="D15" s="97"/>
      <c r="K15" s="57">
        <f t="array" aca="1" ref="K15" ca="1">IFERROR(INDEX(INDIRECT("'"&amp;$R$2&amp;"'!"&amp;$K$17&amp;"2:"&amp;$K$17&amp;$K$18), MATCH(O15, IF(INDIRECT("'"&amp;$R$2&amp;"'!"&amp;$N$17&amp;"2:"&amp;$N$17&amp;$K$18)=N15, INDIRECT("'"&amp;$R$2&amp;"'!"&amp;$O$17&amp;"2:"&amp;$O$17&amp;$K$18)), 0)), "")</f>
        <v>2</v>
      </c>
      <c r="L15" s="126" t="s">
        <v>42</v>
      </c>
      <c r="M15" s="82">
        <f ca="1">IFERROR(INDEX(INDIRECT("'"&amp;$R$2&amp;"'!"&amp;$O$17&amp;"2:"&amp;$O$17&amp;$K$18), MATCH(LARGE(INDIRECT("'"&amp;$R$2&amp;"'!"&amp;$N$17&amp;"2:"&amp;$N$17&amp;$K$18), 1), INDIRECT("'"&amp;$R$2&amp;"'!"&amp;$N$17&amp;"2:"&amp;$N$17&amp;$K$18), 0))-AVERAGE(LARGE(INDIRECT("'"&amp;$R$2&amp;"'!"&amp;$O$17&amp;"2:"&amp;$O$17&amp;$K$18), 1), SMALL(INDIRECT("'"&amp;$R$2&amp;"'!"&amp;$O$17&amp;"2:"&amp;$O$17&amp;$K$18), 1)), "")</f>
        <v>543950.18800000008</v>
      </c>
      <c r="N15" s="64">
        <f t="array" aca="1" ref="N15" ca="1">IFERROR(MAX(IF(INDIRECT("'"&amp;$R$2&amp;"'!"&amp;$O$17&amp;"2:"&amp;$O$17&amp;$K$18)=O15, INDIRECT("'"&amp;$R$2&amp;"'!"&amp;$N$17&amp;"2:"&amp;$N$17&amp;$K$18))), "")</f>
        <v>514279.34100000001</v>
      </c>
      <c r="O15" s="65">
        <f t="array" aca="1" ref="O15" ca="1">IFERROR(LARGE(IFERROR(IFERROR({1,0}*IF(INDIRECT("'"&amp;$R$2&amp;"'!"&amp;$N$17&amp;"2:"&amp;$N$17&amp;$K$18)=LARGE(INDIRECT("'"&amp;$R$2&amp;"'!"&amp;$N$17&amp;"2:"&amp;$N$17&amp;$K$18), 1),INDIRECT("'"&amp;$R$2&amp;"'!"&amp;$O$17&amp;"2:"&amp;$O$17&amp;$K$18), {"",0}), "")+IF(LARGE(INDIRECT("'"&amp;$R$2&amp;"'!"&amp;$N$17&amp;"2:"&amp;$N$17&amp;$K$18), 1)&lt;&gt;LARGE(INDIRECT("'"&amp;$R$2&amp;"'!"&amp;$N$17&amp;"2:"&amp;$N$17&amp;$K$18), 2), IFERROR({0,1}*IF(INDIRECT("'"&amp;$R$2&amp;"'!"&amp;$N$17&amp;"2:"&amp;$N$17&amp;$K$18)=LARGE(INDIRECT("'"&amp;$R$2&amp;"'!"&amp;$N$17&amp;"2:"&amp;$N$17&amp;$K$18), 2),INDIRECT("'"&amp;$R$2&amp;"'!"&amp;$O$17&amp;"2:"&amp;$O$17&amp;$K$18), ""), {0,""}), {0,""}), ""), 1+IF(AND($M$14, IF(AND($M$8, $M$14, (ABS($M$7)=$M$7)&lt;&gt;(ABS($M$13)=$M$13)), IF(ABS($M$13)&gt;ABS($M$15), $M$13&gt;=0, $M$15&lt;0), IF(ABS($M$13)&gt;ABS($M$15), $M$13&lt;0, $M$15&gt;=0))), 1, 0)), "")</f>
        <v>557523.29200000002</v>
      </c>
      <c r="P15" s="79" t="str">
        <f ca="1">IFERROR(IF($N$5&lt;&gt;$P$5,INDEX(INDIRECT("'"&amp;$R$2&amp;"'!"&amp;P$17&amp;":"&amp;P$17), MATCH($K15, INDIRECT("'"&amp;$R$2&amp;"'!"&amp;$K$17&amp;":"&amp;$K$17), 0)), ""), "")</f>
        <v/>
      </c>
      <c r="Q15" s="79" t="str">
        <f ca="1">IFERROR(IF($O$5&lt;&gt;$Q$5,INDEX(INDIRECT("'"&amp;$R$2&amp;"'!"&amp;Q$17&amp;":"&amp;Q$17), MATCH($K15, INDIRECT("'"&amp;$R$2&amp;"'!"&amp;$K$17&amp;":"&amp;$K$17), 0)), ""), "")</f>
        <v/>
      </c>
      <c r="R15" s="64">
        <f ca="1">IFERROR(IF(OR(ABS(K15-K16)=1, AND(MIN(K15:K16)=1, MAX(K15:K16)=$M$19)), VALUE(LEFT(INDEX(INDIRECT("'"&amp;$R$2&amp;"'!"&amp;R$17&amp;":"&amp;R$17), MATCH(IF(ABS(K15-K16)=1, MIN(K15:K16), MAX(K15:K16)), INDIRECT("'"&amp;$R$2&amp;"'!"&amp;$K$17&amp;":"&amp;$K$17), 0)), SEARCH(" ", INDEX(INDIRECT("'"&amp;$R$2&amp;"'!"&amp;R$17&amp;":"&amp;R$17), MATCH(IF(ABS(K15-K16)=1, MIN(K15:K16), MAX(K15:K16)), INDIRECT("'"&amp;$R$2&amp;"'!"&amp;$K$17&amp;":"&amp;$K$17), 0))))), ""), "")</f>
        <v>673.79200000000003</v>
      </c>
      <c r="S15" s="75">
        <f ca="1">IFERROR(AVERAGE(CONVERT(VALUE(LEFT(INDIRECT("'"&amp;$R$2&amp;"'!"&amp;S$17&amp;ROW(A19)), SEARCH(" ", INDIRECT("'"&amp;$R$2&amp;"'!"&amp;S$17&amp;ROW(A19)), 2)-1)), U15, U15), CONVERT(VALUE(LEFT(INDIRECT("'"&amp;$R$2&amp;"'!"&amp;S$17&amp;ROW(A20)), SEARCH(" ", INDIRECT("'"&amp;$R$2&amp;"'!"&amp;S$17&amp;ROW(A20)), 2)-1)), U16, U15)), "")</f>
        <v>3557621</v>
      </c>
      <c r="T15" s="78">
        <f ca="1">IFERROR(IF(INDIRECT("'"&amp;$R$2&amp;"'!"&amp;T$17&amp;ROW(A19))&lt;&gt;"", INDIRECT("'"&amp;$R$2&amp;"'!"&amp;T$17&amp;ROW(A19)), ""), "")</f>
        <v>185.09441140000001</v>
      </c>
      <c r="U15" s="80" t="str">
        <f ca="1">IFERROR(VLOOKUP(RIGHT(INDIRECT("'"&amp;$R$2&amp;"'!"&amp;S$17&amp;ROW(A19)), LEN(INDIRECT("'"&amp;$R$2&amp;"'!"&amp;S$17&amp;ROW(A19)))-SEARCH(" ", INDIRECT("'"&amp;$R$2&amp;"'!"&amp;S$17&amp;ROW(A19)), 2)), $R$18:$S$19, 2, 0), IFERROR(RIGHT(INDIRECT("'"&amp;$R$2&amp;"'!"&amp;S$17&amp;ROW(A19)), LEN(INDIRECT("'"&amp;$R$2&amp;"'!"&amp;S$17&amp;ROW(A19)))-SEARCH(" ", INDIRECT("'"&amp;$R$2&amp;"'!"&amp;S$17&amp;ROW(A19)), 2)), ""))</f>
        <v>ft</v>
      </c>
      <c r="V15" s="6">
        <f ca="1">IF($F$2="rad", DEGREES(H8), H8)</f>
        <v>180</v>
      </c>
      <c r="W15" s="6">
        <f ca="1">IF($T$4="rad", DEGREES(T15), T15)</f>
        <v>185.09441140000001</v>
      </c>
      <c r="X15" s="83" t="str">
        <f ca="1">IFERROR(IF(ABS(V15-W15)=MIN(ABS(V15-W15), ABS((V15-360)-W15), ABS(V15-(W15-360))), MIN(IFERROR(ABS(V15-$W$15:$W$16), ""), IFERROR(ABS(V15-$W$6:$W$7), ""), IFERROR(ABS(V15-$W$9:$W$10), ""))&lt;&gt;ABS(V15-W15), IF(ABS((V15-360)-W15)=MIN(ABS(V15-W15), ABS((V15-360)-W15), ABS(V15-(W15-360))), MIN(IFERROR(ABS((V15-360)-$W$15:$W$16), ""), IFERROR(ABS((V15-360)-$W$6:$W$7), ""), IFERROR(ABS((V15-360)-$W$9:$W$10), ""))&lt;&gt;ABS((V15-360)-W15),  IF(ABS(V15-(W15-360))=MIN(ABS(V15-W15), ABS((V15-360)-W15), ABS(V15-(W15-360))), MIN(IFERROR(ABS(V15-($W$15:$W$16-360)), ""), IFERROR(ABS(V15-($W$6:$W$7-360)), ""), IFERROR(ABS(V15-($W$9:$W$10-360)), ""))&lt;&gt;ABS(V15-(W15-360)), TRUE))), "")</f>
        <v/>
      </c>
    </row>
    <row r="16" spans="1:25" x14ac:dyDescent="0.35">
      <c r="A16" s="21"/>
      <c r="B16" s="115" t="s">
        <v>76</v>
      </c>
      <c r="C16" s="115"/>
      <c r="D16" s="115"/>
      <c r="E16" s="21"/>
      <c r="F16" s="115" t="s">
        <v>70</v>
      </c>
      <c r="G16" s="115"/>
      <c r="H16" s="115"/>
      <c r="I16" s="17"/>
      <c r="J16" s="80"/>
      <c r="K16" s="57">
        <f t="array" aca="1" ref="K16" ca="1">IFERROR(INDEX(INDIRECT("'"&amp;$R$2&amp;"'!"&amp;$K$17&amp;"2:"&amp;$K$17&amp;$K$18), MATCH(O16, IF(INDIRECT("'"&amp;$R$2&amp;"'!"&amp;$N$17&amp;"2:"&amp;$N$17&amp;$K$18)=N16, INDIRECT("'"&amp;$R$2&amp;"'!"&amp;$O$17&amp;"2:"&amp;$O$17&amp;$K$18)), 0)), "")</f>
        <v>3</v>
      </c>
      <c r="L16" s="126"/>
      <c r="M16" s="79" t="str">
        <f ca="1">IFERROR(IF(ATAN2(O15-O16, N15-N16)+PI()&gt;PI(), "Bottom", IF(ATAN2(O15-O16, N15-N16)+PI()&lt;PI(), "Top", "None")), "")</f>
        <v>None</v>
      </c>
      <c r="N16" s="64">
        <f t="array" aca="1" ref="N16" ca="1">IFERROR(MAX(IF(INDIRECT("'"&amp;$R$2&amp;"'!"&amp;$O$17&amp;"2:"&amp;$O$17&amp;$K$18)=O16, INDIRECT("'"&amp;$R$2&amp;"'!"&amp;$N$17&amp;"2:"&amp;$N$17&amp;$K$18))), "")</f>
        <v>514279.34100000001</v>
      </c>
      <c r="O16" s="65">
        <f t="array" aca="1" ref="O16" ca="1">IFERROR(LARGE(IFERROR(IFERROR({1,0}*IF(INDIRECT("'"&amp;$R$2&amp;"'!"&amp;$N$17&amp;"2:"&amp;$N$17&amp;$K$18)=LARGE(INDIRECT("'"&amp;$R$2&amp;"'!"&amp;$N$17&amp;"2:"&amp;$N$17&amp;$K$18), 1),INDIRECT("'"&amp;$R$2&amp;"'!"&amp;$O$17&amp;"2:"&amp;$O$17&amp;$K$18), {"",0}), "")+IF(LARGE(INDIRECT("'"&amp;$R$2&amp;"'!"&amp;$N$17&amp;"2:"&amp;$N$17&amp;$K$18), 1)&lt;&gt;LARGE(INDIRECT("'"&amp;$R$2&amp;"'!"&amp;$N$17&amp;"2:"&amp;$N$17&amp;$K$18), 2), IFERROR({0,1}*IF(INDIRECT("'"&amp;$R$2&amp;"'!"&amp;$N$17&amp;"2:"&amp;$N$17&amp;$K$18)=LARGE(INDIRECT("'"&amp;$R$2&amp;"'!"&amp;$N$17&amp;"2:"&amp;$N$17&amp;$K$18), 2),INDIRECT("'"&amp;$R$2&amp;"'!"&amp;$O$17&amp;"2:"&amp;$O$17&amp;$K$18), ""), {0,""}), {0,""}), ""), 2+IF(AND($M$14, IF(AND($M$8, $M$14, (ABS($M$7)=$M$7)&lt;&gt;(ABS($M$13)=$M$13)), IF(ABS($M$13)&gt;ABS($M$15), $M$13&gt;=0, $M$15&lt;0), IF(ABS($M$13)&gt;ABS($M$15), $M$13&lt;0, $M$15&gt;=0))), 1, 0)), "")</f>
        <v>-530377.08400000003</v>
      </c>
      <c r="P16" s="79" t="str">
        <f ca="1">IFERROR(IF($N$5&lt;&gt;$P$5,INDEX(INDIRECT("'"&amp;$R$2&amp;"'!"&amp;P$17&amp;":"&amp;P$17), MATCH($K16, INDIRECT("'"&amp;$R$2&amp;"'!"&amp;$K$17&amp;":"&amp;$K$17), 0)), ""), "")</f>
        <v/>
      </c>
      <c r="Q16" s="79" t="str">
        <f ca="1">IFERROR(IF($O$5&lt;&gt;$Q$5,INDEX(INDIRECT("'"&amp;$R$2&amp;"'!"&amp;Q$17&amp;":"&amp;Q$17), MATCH($K16, INDIRECT("'"&amp;$R$2&amp;"'!"&amp;$K$17&amp;":"&amp;$K$17), 0)), ""), "")</f>
        <v/>
      </c>
      <c r="R16" s="64" t="str">
        <f ca="1">IFERROR(IF($R$4="", IFERROR(VLOOKUP(IF(OR(ABS(K15-K16)=1, AND(MIN(K15:K16)=1, MAX(K15:K16)=$M$19)), RIGHT(INDEX(INDIRECT("'"&amp;$R$2&amp;"'!"&amp;R$17&amp;":"&amp;R$17), MATCH(IF(ABS(K15-K16)=1, MIN(K15:K16), MAX(K15:K16)), INDIRECT("'"&amp;$R$2&amp;"'!"&amp;$K$17&amp;":"&amp;$K$17), 0)), LEN(INDEX(INDIRECT("'"&amp;$R$2&amp;"'!"&amp;R$17&amp;":"&amp;R$17), MATCH(IF(ABS(K15-K16)=1, MIN(K15:K16), MAX(K15:K16)), INDIRECT("'"&amp;$R$2&amp;"'!"&amp;$K$17&amp;":"&amp;$K$17), 0)))-SEARCH(" ", INDEX(INDIRECT("'"&amp;$R$2&amp;"'!"&amp;R$17&amp;":"&amp;R$17), MATCH(IF(ABS(K15-K16)=1, MIN(K15:K16), MAX(K15:K16)), INDIRECT("'"&amp;$R$2&amp;"'!"&amp;$K$17&amp;":"&amp;$K$17), 0)))), ""), $R$18:$S$19, 2, 0), IF(OR(ABS(K15-K16)=1, AND(MIN(K15:K16)=1, MAX(K15:K16)=$M$19)), RIGHT(INDEX(INDIRECT("'"&amp;$R$2&amp;"'!"&amp;R$17&amp;":"&amp;R$17), MATCH(IF(ABS(K15-K16)=1, MIN(K15:K16), MAX(K15:K16)), INDIRECT("'"&amp;$R$2&amp;"'!"&amp;$K$17&amp;":"&amp;$K$17), 0)), LEN(INDEX(INDIRECT("'"&amp;$R$2&amp;"'!"&amp;R$17&amp;":"&amp;R$17), MATCH(IF(ABS(K15-K16)=1, MIN(K15:K16), MAX(K15:K16)), INDIRECT("'"&amp;$R$2&amp;"'!"&amp;$K$17&amp;":"&amp;$K$17), 0)))-SEARCH(" ", INDEX(INDIRECT("'"&amp;$R$2&amp;"'!"&amp;R$17&amp;":"&amp;R$17), MATCH(IF(ABS(K15-K16)=1, MIN(K15:K16), MAX(K15:K16)), INDIRECT("'"&amp;$R$2&amp;"'!"&amp;$K$17&amp;":"&amp;$K$17), 0)))), "")), $R$4), "")</f>
        <v>mi</v>
      </c>
      <c r="S16" s="75" t="str">
        <f ca="1">IF(OR($S$4="", $S$4="Units"), U15, $S$4)</f>
        <v>ft</v>
      </c>
      <c r="T16" s="78">
        <f ca="1">IFERROR(IF(INDIRECT("'"&amp;$R$2&amp;"'!"&amp;T$17&amp;ROW(A20))&lt;&gt;"", INDIRECT("'"&amp;$R$2&amp;"'!"&amp;T$17&amp;ROW(A20)), ""), "")</f>
        <v>4.2956294000000002</v>
      </c>
      <c r="U16" s="80" t="str">
        <f ca="1">IFERROR(VLOOKUP(RIGHT(INDIRECT("'"&amp;$R$2&amp;"'!"&amp;S$17&amp;ROW(A20)), LEN(INDIRECT("'"&amp;$R$2&amp;"'!"&amp;S$17&amp;ROW(A20)))-SEARCH(" ", INDIRECT("'"&amp;$R$2&amp;"'!"&amp;S$17&amp;ROW(A20)), 2)), $R$18:$S$19, 2, 0), IFERROR(RIGHT(INDIRECT("'"&amp;$R$2&amp;"'!"&amp;S$17&amp;ROW(A20)), LEN(INDIRECT("'"&amp;$R$2&amp;"'!"&amp;S$17&amp;ROW(A20)))-SEARCH(" ", INDIRECT("'"&amp;$R$2&amp;"'!"&amp;S$17&amp;ROW(A20)), 2)), ""))</f>
        <v>ft</v>
      </c>
      <c r="V16" s="6">
        <f ca="1">IF($F$2="rad", DEGREES(H10), H10)</f>
        <v>360</v>
      </c>
      <c r="W16" s="6">
        <f ca="1">IF($T$4="rad", DEGREES(T16), T16)</f>
        <v>4.2956294000000002</v>
      </c>
      <c r="X16" s="83" t="str">
        <f ca="1">IFERROR(IF(ABS(V16-W16)=MIN(ABS(V16-W16), ABS((V16-360)-W16), ABS(V16-(W16-360))), MIN(IFERROR(ABS(V16-$W$15:$W$16), ""), IFERROR(ABS(V16-$W$6:$W$7), ""), IFERROR(ABS(V16-$W$9:$W$10), ""))&lt;&gt;ABS(V16-W16), IF(ABS((V16-360)-W16)=MIN(ABS(V16-W16), ABS((V16-360)-W16), ABS(V16-(W16-360))), MIN(IFERROR(ABS((V16-360)-$W$15:$W$16), ""), IFERROR(ABS((V16-360)-$W$6:$W$7), ""), IFERROR(ABS((V16-360)-$W$9:$W$10), ""))&lt;&gt;ABS((V16-360)-W16),  IF(ABS(V16-(W16-360))=MIN(ABS(V16-W16), ABS((V16-360)-W16), ABS(V16-(W16-360))), MIN(IFERROR(ABS(V16-($W$15:$W$16-360)), ""), IFERROR(ABS(V16-($W$6:$W$7-360)), ""), IFERROR(ABS(V16-($W$9:$W$10-360)), ""))&lt;&gt;ABS(V16-(W16-360)), TRUE))), "")</f>
        <v/>
      </c>
      <c r="Y16" s="7"/>
    </row>
    <row r="17" spans="1:20" x14ac:dyDescent="0.35">
      <c r="B17" s="24" t="s">
        <v>44</v>
      </c>
      <c r="C17" s="24" t="s">
        <v>41</v>
      </c>
      <c r="D17" s="24" t="s">
        <v>42</v>
      </c>
      <c r="F17" s="24" t="s">
        <v>44</v>
      </c>
      <c r="G17" s="24" t="s">
        <v>41</v>
      </c>
      <c r="H17" s="24" t="s">
        <v>42</v>
      </c>
      <c r="I17" s="17"/>
      <c r="K17" s="6" t="s">
        <v>0</v>
      </c>
      <c r="N17" s="6" t="str">
        <f ca="1">IFERROR(SUBSTITUTE(ADDRESS(1, MATCH(N5, INDIRECT("'"&amp;$R$2&amp;"'!1:1"), 0), 4), "1", ""), "")</f>
        <v>B</v>
      </c>
      <c r="O17" s="6" t="str">
        <f ca="1">IFERROR(SUBSTITUTE(ADDRESS(1, MATCH(O5, INDIRECT("'"&amp;$R$2&amp;"'!1:1"), 0), 4), "1", ""), "")</f>
        <v>C</v>
      </c>
      <c r="P17" s="6" t="str">
        <f ca="1">IFERROR(SUBSTITUTE(ADDRESS(1, MATCH(P5, INDIRECT("'"&amp;$R$2&amp;"'!1:1"), 0), 4), "1", ""), "")</f>
        <v>B</v>
      </c>
      <c r="Q17" s="6" t="str">
        <f ca="1">IFERROR(SUBSTITUTE(ADDRESS(1, MATCH(Q5, INDIRECT("'"&amp;$R$2&amp;"'!1:1"), 0), 4), "1", ""), "")</f>
        <v>C</v>
      </c>
      <c r="R17" s="6" t="str">
        <f ca="1">IFERROR(SUBSTITUTE(ADDRESS(1, MATCH(R5, INDIRECT("'"&amp;$R$2&amp;"'!1:1"), 0), 4), "1", ""), "")</f>
        <v>D</v>
      </c>
      <c r="S17" s="6" t="s">
        <v>1</v>
      </c>
      <c r="T17" s="6" t="s">
        <v>2</v>
      </c>
    </row>
    <row r="18" spans="1:20" ht="14.5" customHeight="1" x14ac:dyDescent="0.35">
      <c r="A18" s="45" t="s">
        <v>45</v>
      </c>
      <c r="B18" s="98">
        <f ca="1">IFERROR(B34*$C$38, "")</f>
        <v>-4.4634991887906734</v>
      </c>
      <c r="C18" s="2"/>
      <c r="D18" s="50">
        <f ca="1">IFERROR(D34*$C$38, "")</f>
        <v>-4.656432108150466</v>
      </c>
      <c r="E18" s="45" t="s">
        <v>45</v>
      </c>
      <c r="F18" s="45">
        <f ca="1">IFERROR(B18-D18, "")</f>
        <v>0.19293291935979262</v>
      </c>
      <c r="H18" s="45">
        <f ca="1">IFERROR(D18-B18, "")</f>
        <v>-0.19293291935979262</v>
      </c>
      <c r="I18" s="45" t="s">
        <v>45</v>
      </c>
      <c r="K18" s="6">
        <f ca="1">IFERROR(M18+1-(M18-M19), "")</f>
        <v>5</v>
      </c>
      <c r="L18" s="74" t="s">
        <v>79</v>
      </c>
      <c r="M18" s="56">
        <f ca="1">IFERROR(MAX(INDIRECT("'"&amp;$R$2&amp;"'!"&amp;$K$17&amp;":"&amp;$K$17)), "")</f>
        <v>5</v>
      </c>
      <c r="P18" s="96" t="str">
        <f ca="1">IFERROR(IF(OR($X$6:$X$16), "Check Pasted Measurement Positons", ""), "")</f>
        <v/>
      </c>
      <c r="Q18" s="97"/>
      <c r="R18" s="6" t="s">
        <v>85</v>
      </c>
      <c r="S18" s="6" t="s">
        <v>73</v>
      </c>
    </row>
    <row r="19" spans="1:20" ht="15" thickBot="1" x14ac:dyDescent="0.4">
      <c r="A19" s="44" t="s">
        <v>64</v>
      </c>
      <c r="B19" s="99">
        <f ca="1">IFERROR(F6-B6, "")</f>
        <v>-0.41089160000001357</v>
      </c>
      <c r="C19" s="43">
        <f ca="1">IFERROR(G6-C6, "")</f>
        <v>0.73881830112145508</v>
      </c>
      <c r="D19" s="99">
        <f ca="1">IFERROR(H6-D6, "")</f>
        <v>-0.39386659999996709</v>
      </c>
      <c r="E19" s="44" t="s">
        <v>64</v>
      </c>
      <c r="F19" s="44">
        <f ca="1">IFERROR(B19-B25, "")</f>
        <v>4.6249999996916813E-4</v>
      </c>
      <c r="G19" s="41">
        <f ca="1">IFERROR(C19-C25, "")</f>
        <v>-1.6856060606187384E-3</v>
      </c>
      <c r="H19" s="44">
        <f ca="1">IFERROR(D19-D25, "")</f>
        <v>4.373000000441607E-4</v>
      </c>
      <c r="I19" s="44" t="s">
        <v>64</v>
      </c>
      <c r="L19" s="56" t="s">
        <v>72</v>
      </c>
      <c r="M19" s="74">
        <f t="array" aca="1" ref="M19" ca="1">IFERROR(IF(AND(INDEX(INDIRECT("'"&amp;$R$2&amp;"'!"&amp;N$17&amp;":"&amp;N$17), MATCH(1, INDIRECT("'"&amp;$R$2&amp;"'!"&amp;$K$17&amp;":"&amp;$K$17), 0))=INDEX(INDIRECT("'"&amp;$R$2&amp;"'!"&amp;N$17&amp;":"&amp;N$17), MATCH($M18, INDIRECT("'"&amp;$R$2&amp;"'!"&amp;$K$17&amp;":"&amp;$K$17), 0)), INDEX(INDIRECT("'"&amp;$R$2&amp;"'!"&amp;O$17&amp;":"&amp;O$17), MATCH(1, INDIRECT("'"&amp;$R$2&amp;"'!"&amp;$K$17&amp;":"&amp;$K$17), 0))=INDEX(INDIRECT("'"&amp;$R$2&amp;"'!"&amp;O$17&amp;":"&amp;O$17), MATCH($M18, INDIRECT("'"&amp;$R$2&amp;"'!"&amp;$K$17&amp;":"&amp;$K$17), 0))), M18-1, M18), "")</f>
        <v>4</v>
      </c>
      <c r="O19" s="17"/>
      <c r="R19" s="6" t="s">
        <v>86</v>
      </c>
      <c r="S19" s="6" t="s">
        <v>49</v>
      </c>
    </row>
    <row r="20" spans="1:20" x14ac:dyDescent="0.35">
      <c r="A20" s="45" t="s">
        <v>45</v>
      </c>
      <c r="B20" s="98">
        <f ca="1">IFERROR(B36*$C$38, "")</f>
        <v>-4.8127394774429826</v>
      </c>
      <c r="C20" s="93"/>
      <c r="D20" s="98">
        <f ca="1">IFERROR(D36*$C$38, "")</f>
        <v>-4.6145780154846161</v>
      </c>
      <c r="E20" s="45" t="s">
        <v>45</v>
      </c>
      <c r="F20" s="45">
        <f ca="1">IFERROR(B20-B24, "")</f>
        <v>-5.4110435428107451E-3</v>
      </c>
      <c r="G20" s="47"/>
      <c r="H20" s="45">
        <f ca="1">IFERROR(D20-D24, "")</f>
        <v>-5.1176873839029469E-3</v>
      </c>
      <c r="I20" s="45" t="s">
        <v>45</v>
      </c>
      <c r="K20" s="56"/>
      <c r="N20"/>
    </row>
    <row r="21" spans="1:20" ht="14.5" customHeight="1" x14ac:dyDescent="0.35">
      <c r="A21" s="21"/>
      <c r="B21" s="95"/>
      <c r="C21" s="54" t="s">
        <v>46</v>
      </c>
      <c r="D21" s="95"/>
      <c r="E21" s="21"/>
      <c r="F21" s="21"/>
      <c r="G21" s="38"/>
      <c r="H21" s="21"/>
      <c r="I21" s="69"/>
      <c r="L21" s="128" t="s">
        <v>111</v>
      </c>
      <c r="M21" s="20" t="s">
        <v>73</v>
      </c>
    </row>
    <row r="22" spans="1:20" x14ac:dyDescent="0.35">
      <c r="A22" s="41" t="s">
        <v>45</v>
      </c>
      <c r="B22" s="43">
        <f ca="1">IFERROR(F9-B9, "")</f>
        <v>2.3924915493518029</v>
      </c>
      <c r="C22" s="53" t="s">
        <v>110</v>
      </c>
      <c r="D22" s="43">
        <f ca="1">IFERROR(H9-D9, "")</f>
        <v>2.1980976099579266</v>
      </c>
      <c r="E22" s="41" t="s">
        <v>45</v>
      </c>
      <c r="F22" s="42">
        <f ca="1">IFERROR(B22-D22, "")</f>
        <v>0.19439393939387628</v>
      </c>
      <c r="G22" s="39"/>
      <c r="H22" s="42">
        <f ca="1">IFERROR(D22-B22, "")</f>
        <v>-0.19439393939387628</v>
      </c>
      <c r="I22" s="41" t="s">
        <v>45</v>
      </c>
      <c r="L22" s="128"/>
      <c r="M22" s="19">
        <v>5</v>
      </c>
    </row>
    <row r="23" spans="1:20" x14ac:dyDescent="0.35">
      <c r="A23" s="17"/>
      <c r="B23" s="95"/>
      <c r="C23" s="52">
        <f>IFERROR(IF(M22&lt;&gt;"", CONVERT(M22, M21, $D$2), ""), "")</f>
        <v>5</v>
      </c>
      <c r="D23" s="95"/>
      <c r="F23" s="21"/>
      <c r="G23" s="38"/>
      <c r="H23" s="21"/>
      <c r="I23" s="17"/>
      <c r="K23" s="45"/>
      <c r="L23" s="17"/>
      <c r="O23" s="17"/>
      <c r="Q23" s="17"/>
    </row>
    <row r="24" spans="1:20" ht="15" thickBot="1" x14ac:dyDescent="0.4">
      <c r="A24" s="45" t="s">
        <v>45</v>
      </c>
      <c r="B24" s="98">
        <f ca="1">IFERROR(B40*$C$38, "")</f>
        <v>-4.8073284339001718</v>
      </c>
      <c r="C24" s="46"/>
      <c r="D24" s="98">
        <f ca="1">IFERROR(D40*$C$38, "")</f>
        <v>-4.6094603281007132</v>
      </c>
      <c r="E24" s="45" t="s">
        <v>45</v>
      </c>
      <c r="F24" s="45">
        <f ca="1">IFERROR(B24-B20, "")</f>
        <v>5.4110435428107451E-3</v>
      </c>
      <c r="G24" s="46"/>
      <c r="H24" s="45">
        <f ca="1">IFERROR(D24-D20, "")</f>
        <v>5.1176873839029469E-3</v>
      </c>
      <c r="I24" s="45" t="s">
        <v>45</v>
      </c>
      <c r="K24" s="44"/>
      <c r="L24" s="128" t="s">
        <v>65</v>
      </c>
      <c r="M24" s="20" t="s">
        <v>63</v>
      </c>
      <c r="O24" s="17"/>
      <c r="Q24" s="17"/>
    </row>
    <row r="25" spans="1:20" s="17" customFormat="1" x14ac:dyDescent="0.35">
      <c r="A25" s="44" t="s">
        <v>64</v>
      </c>
      <c r="B25" s="99">
        <f ca="1">IFERROR(F12-B12, "")</f>
        <v>-0.41135409999998274</v>
      </c>
      <c r="C25" s="43">
        <f ca="1">IFERROR(G12-C12, "")</f>
        <v>0.74050390718207382</v>
      </c>
      <c r="D25" s="99">
        <f ca="1">IFERROR(H12-D12, "")</f>
        <v>-0.39430390000001125</v>
      </c>
      <c r="E25" s="44" t="s">
        <v>64</v>
      </c>
      <c r="F25" s="44">
        <f ca="1">IFERROR(B25-B19, "")</f>
        <v>-4.6249999996916813E-4</v>
      </c>
      <c r="G25" s="43">
        <f ca="1">IFERROR(C25-C19, "")</f>
        <v>1.6856060606187384E-3</v>
      </c>
      <c r="H25" s="44">
        <f ca="1">IFERROR(D25-D19, "")</f>
        <v>-4.373000000441607E-4</v>
      </c>
      <c r="I25" s="44" t="s">
        <v>64</v>
      </c>
      <c r="L25" s="128"/>
      <c r="M25" s="18">
        <v>6371</v>
      </c>
    </row>
    <row r="26" spans="1:20" s="17" customFormat="1" ht="14.5" customHeight="1" x14ac:dyDescent="0.35">
      <c r="A26" s="45" t="s">
        <v>45</v>
      </c>
      <c r="B26" s="98">
        <f ca="1">IFERROR(B42*$C$38, "")</f>
        <v>-4.4684433786019806</v>
      </c>
      <c r="C26" s="2"/>
      <c r="D26" s="98">
        <f ca="1">IFERROR(D42*$C$38, "")</f>
        <v>-4.6616613675061087</v>
      </c>
      <c r="E26" s="45" t="s">
        <v>45</v>
      </c>
      <c r="F26" s="45">
        <f ca="1">IFERROR(B26-D26, "")</f>
        <v>0.19321798890412811</v>
      </c>
      <c r="H26" s="45">
        <f ca="1">IFERROR(D26-B26, "")</f>
        <v>-0.19321798890412811</v>
      </c>
      <c r="I26" s="45" t="s">
        <v>45</v>
      </c>
      <c r="O26"/>
    </row>
    <row r="27" spans="1:20" s="17" customFormat="1" x14ac:dyDescent="0.35">
      <c r="B27" s="24" t="s">
        <v>44</v>
      </c>
      <c r="C27" s="22" t="s">
        <v>43</v>
      </c>
      <c r="D27" s="24" t="s">
        <v>42</v>
      </c>
      <c r="F27" s="24" t="s">
        <v>44</v>
      </c>
      <c r="G27" s="24" t="s">
        <v>43</v>
      </c>
      <c r="H27" s="24" t="s">
        <v>42</v>
      </c>
    </row>
    <row r="28" spans="1:20" s="17" customFormat="1" x14ac:dyDescent="0.35"/>
    <row r="29" spans="1:20" x14ac:dyDescent="0.35">
      <c r="B29" s="110" t="s">
        <v>89</v>
      </c>
      <c r="C29" s="127" t="s">
        <v>111</v>
      </c>
      <c r="D29" s="127"/>
      <c r="E29" s="12"/>
      <c r="F29" s="110" t="s">
        <v>89</v>
      </c>
      <c r="G29" s="127" t="s">
        <v>111</v>
      </c>
      <c r="H29" s="127"/>
      <c r="L29" s="17"/>
    </row>
    <row r="30" spans="1:20" ht="14.5" customHeight="1" x14ac:dyDescent="0.35">
      <c r="A30" s="41" t="s">
        <v>45</v>
      </c>
      <c r="B30" s="41">
        <f ca="1">MAX(MAX(C19,G19,B22:H22,C25,G25), ABS(MIN(C19,G19,B22:H22,C25,G25)))</f>
        <v>2.3924915493518029</v>
      </c>
      <c r="C30" s="41">
        <f ca="1">B30-$C$23</f>
        <v>-2.6075084506481971</v>
      </c>
      <c r="D30" s="107">
        <f ca="1">B30/$C$23</f>
        <v>0.47849830987036057</v>
      </c>
      <c r="E30" s="45" t="s">
        <v>45</v>
      </c>
      <c r="F30" s="45">
        <f ca="1">MAX(MAX(B18:H18,B20:H20,B24:H24,B26:H26), ABS(MIN(B18:H18,B20:H20,B24:H24,B26:H26)))</f>
        <v>4.8127394774429826</v>
      </c>
      <c r="G30" s="45">
        <f ca="1">F30-$C$23</f>
        <v>-0.18726052255701742</v>
      </c>
      <c r="H30" s="108">
        <f ca="1">F30/$C$23</f>
        <v>0.96254789548859654</v>
      </c>
    </row>
    <row r="31" spans="1:20" x14ac:dyDescent="0.35">
      <c r="E31" s="44" t="s">
        <v>64</v>
      </c>
      <c r="F31" s="44">
        <f ca="1">MAX(MAX(B19,D19:F19,H19,B25,D25:F25,H25), ABS(MIN(B19,D19:F19,H19,B25,D25:F25,H25)))</f>
        <v>0.41135409999998274</v>
      </c>
      <c r="K31"/>
      <c r="L31" s="17"/>
      <c r="M31" s="103"/>
      <c r="O31" s="17"/>
      <c r="P31"/>
    </row>
    <row r="32" spans="1:20" ht="14.5" customHeight="1" x14ac:dyDescent="0.35">
      <c r="A32" s="17"/>
      <c r="B32" s="115" t="s">
        <v>69</v>
      </c>
      <c r="C32" s="115"/>
      <c r="D32" s="115"/>
      <c r="K32"/>
      <c r="L32" s="17"/>
      <c r="N32" s="7"/>
      <c r="O32" s="17"/>
      <c r="P32"/>
    </row>
    <row r="33" spans="1:20" s="17" customFormat="1" x14ac:dyDescent="0.35">
      <c r="A33"/>
      <c r="B33" s="70" t="s">
        <v>44</v>
      </c>
      <c r="C33" s="70" t="s">
        <v>41</v>
      </c>
      <c r="D33" s="70" t="s">
        <v>42</v>
      </c>
      <c r="G33" s="94"/>
      <c r="H33" s="113"/>
      <c r="K33"/>
      <c r="P33"/>
      <c r="S33"/>
      <c r="T33"/>
    </row>
    <row r="34" spans="1:20" s="17" customFormat="1" ht="14.5" customHeight="1" x14ac:dyDescent="0.35">
      <c r="A34" s="45" t="s">
        <v>77</v>
      </c>
      <c r="B34" s="50">
        <f ca="1">IFERROR(IF(C34&lt;&gt;"Great Circle", IF($F$2="rad", ATAN(2*SIN(D35)/((1/TAN(C35/2))*SIN(D35+$D$6)+TAN(C35/2)*SIN($D$6-D35))), ATAN(2*SIN(RADIANS(D35))/((1/TAN(RADIANS(C35)/2))*SIN(RADIANS(D35)+RADIANS($D$6))+TAN(RADIANS(C35)/2)*SIN(RADIANS($D$6)-RADIANS(D35))))), 0), "")</f>
        <v>-1.1275004926204894E-3</v>
      </c>
      <c r="C34" s="111" t="s">
        <v>41</v>
      </c>
      <c r="D34" s="51">
        <f ca="1">IFERROR(IF(C34&lt;&gt;"Great Circle", IF($F$2="rad", ATAN(2*SIN(B35)/((1/TAN(C35/2))*SIN(B35+$B$6)+TAN(C35/2)*SIN($B$6-B35))), ATAN(2*SIN(RADIANS(B35))/((1/TAN(RADIANS(C35)/2))*SIN(RADIANS(B35)+RADIANS($B$6))+TAN(RADIANS(C35)/2)*SIN(RADIANS($B$6)-RADIANS(B35))))), 0), "")</f>
        <v>-1.1762362383706331E-3</v>
      </c>
      <c r="E34" s="45" t="s">
        <v>77</v>
      </c>
      <c r="N34" s="7"/>
      <c r="S34"/>
      <c r="T34"/>
    </row>
    <row r="35" spans="1:20" s="17" customFormat="1" ht="14.5" customHeight="1" thickBot="1" x14ac:dyDescent="0.4">
      <c r="A35" s="34" t="s">
        <v>64</v>
      </c>
      <c r="B35" s="44">
        <f ca="1">B19</f>
        <v>-0.41089160000001357</v>
      </c>
      <c r="C35" s="42">
        <f ca="1">IFERROR(IF($F$2="rad", C6/$C$38, DEGREES(C6/$C$38)), "")</f>
        <v>9.4402374539573195</v>
      </c>
      <c r="D35" s="44">
        <f ca="1">D19</f>
        <v>-0.39386659999996709</v>
      </c>
      <c r="E35" s="34" t="s">
        <v>64</v>
      </c>
      <c r="H35" s="94"/>
      <c r="I35" s="94"/>
      <c r="S35"/>
      <c r="T35"/>
    </row>
    <row r="36" spans="1:20" s="17" customFormat="1" x14ac:dyDescent="0.35">
      <c r="A36" s="45" t="s">
        <v>77</v>
      </c>
      <c r="B36" s="51">
        <f ca="1">IFERROR(IF(B37&lt;&gt;"Great Circle", IF($F$2="rad", ATAN(2*SIN(B41)/((1/TAN(B38/2))*SIN(B41+$B$12)+TAN(B38/2)*SIN($B$12-B41))), ATAN(2*SIN(RADIANS(B41))/((1/TAN(RADIANS(B38)/2))*SIN(RADIANS(B41)+RADIANS($B$12))+TAN(RADIANS(B38)/2)*SIN(RADIANS($B$12)-RADIANS(B41))))), 0), "")</f>
        <v>-1.2157202011593155E-3</v>
      </c>
      <c r="C36" s="47"/>
      <c r="D36" s="51">
        <f ca="1">IFERROR(IF(D37&lt;&gt;"Great Circle", IF($F$2="rad", ATAN(2*SIN(D41)/((1/TAN(D38/2))*SIN(D41+$D$12)+TAN(D38/2)*SIN($D$12-D41))), ATAN(2*SIN(RADIANS(D41))/((1/TAN(RADIANS(D38)/2))*SIN(RADIANS(D41)+RADIANS($D$12))+TAN(RADIANS(D38)/2)*SIN(RADIANS($D$12)-RADIANS(D41))))), 0), "")</f>
        <v>-1.1656637014208248E-3</v>
      </c>
      <c r="E36" s="45" t="s">
        <v>77</v>
      </c>
      <c r="I36" s="94"/>
      <c r="K36" s="94"/>
      <c r="L36" s="94"/>
      <c r="M36" s="94"/>
      <c r="S36"/>
      <c r="T36" s="7"/>
    </row>
    <row r="37" spans="1:20" s="17" customFormat="1" x14ac:dyDescent="0.35">
      <c r="A37"/>
      <c r="C37" s="53" t="s">
        <v>65</v>
      </c>
      <c r="F37" s="71"/>
      <c r="H37" s="71"/>
      <c r="I37" s="94"/>
      <c r="L37" s="94"/>
      <c r="M37" s="94"/>
    </row>
    <row r="38" spans="1:20" s="17" customFormat="1" x14ac:dyDescent="0.35">
      <c r="A38" s="41" t="s">
        <v>77</v>
      </c>
      <c r="B38" s="42">
        <f ca="1">IFERROR(IF($F$2="rad", B9/$C$38, DEGREES(B9/$C$38)), "")</f>
        <v>9.7490961754508039</v>
      </c>
      <c r="C38" s="52">
        <f>IFERROR(IF(M25&lt;&gt;"", CONVERT($M$25, $M$24, $D$2), ""), "")</f>
        <v>3958.7558657440545</v>
      </c>
      <c r="D38" s="42">
        <f ca="1">IFERROR(IF($F$2="rad", D9/$C$38, DEGREES(D9/$C$38)), "")</f>
        <v>9.7519096735971704</v>
      </c>
      <c r="E38" s="41" t="s">
        <v>77</v>
      </c>
      <c r="F38" s="71"/>
      <c r="H38" s="71"/>
      <c r="I38" s="94"/>
    </row>
    <row r="39" spans="1:20" x14ac:dyDescent="0.35">
      <c r="B39" s="17"/>
      <c r="C39" s="38"/>
      <c r="D39" s="17"/>
      <c r="G39" s="17"/>
      <c r="H39" s="17"/>
      <c r="I39" s="17"/>
      <c r="L39" s="17"/>
      <c r="O39" s="17"/>
    </row>
    <row r="40" spans="1:20" ht="15" thickBot="1" x14ac:dyDescent="0.4">
      <c r="A40" s="45" t="s">
        <v>77</v>
      </c>
      <c r="B40" s="51">
        <f ca="1">IFERROR(IF(B37&lt;&gt;"Great Circle", IF($F$2="rad", ATAN(2*SIN(B35)/((1/TAN(B38/2))*SIN(B35+$B$6)+TAN(B38/2)*SIN($B$6-B35))), ATAN(2*SIN(RADIANS(B35))/((1/TAN(RADIANS(B38)/2))*SIN(RADIANS(B35)+RADIANS($B$6))+TAN(RADIANS(B38)/2)*SIN(RADIANS($B$6)-RADIANS(B35))))), 0), "")</f>
        <v>-1.2143533465902745E-3</v>
      </c>
      <c r="C40" s="46"/>
      <c r="D40" s="51">
        <f ca="1">IFERROR(IF(D37&lt;&gt;"Great Circle", IF($F$2="rad", ATAN(2*SIN(D35)/((1/TAN(D38/2))*SIN(D35+$D$6)+TAN(D38/2)*SIN($D$6-D35))), ATAN(2*SIN(RADIANS(D35))/((1/TAN(RADIANS(D38)/2))*SIN(RADIANS(D35)+RADIANS($D$6))+TAN(RADIANS(D38)/2)*SIN(RADIANS($D$6)-RADIANS(D35))))), 0), "")</f>
        <v>-1.1643709499712628E-3</v>
      </c>
      <c r="E40" s="45" t="s">
        <v>77</v>
      </c>
      <c r="F40" s="94"/>
      <c r="G40" s="94"/>
      <c r="H40" s="71"/>
      <c r="I40" s="94"/>
      <c r="L40" s="94"/>
      <c r="M40" s="94"/>
      <c r="N40" s="94"/>
    </row>
    <row r="41" spans="1:20" x14ac:dyDescent="0.35">
      <c r="A41" s="34" t="s">
        <v>64</v>
      </c>
      <c r="B41" s="44">
        <f ca="1">B25</f>
        <v>-0.41135409999998274</v>
      </c>
      <c r="C41" s="42">
        <f ca="1">IFERROR(IF($F$2="rad", C12/$C$38, DEGREES(C12/$C$38)), "")</f>
        <v>9.4402130578802517</v>
      </c>
      <c r="D41" s="44">
        <f ca="1">D25</f>
        <v>-0.39430390000001125</v>
      </c>
      <c r="E41" s="34" t="s">
        <v>64</v>
      </c>
      <c r="F41" s="94"/>
      <c r="H41" s="94"/>
      <c r="I41" s="94"/>
      <c r="L41" s="17"/>
      <c r="M41" s="94"/>
      <c r="N41" s="94"/>
    </row>
    <row r="42" spans="1:20" x14ac:dyDescent="0.35">
      <c r="A42" s="45" t="s">
        <v>77</v>
      </c>
      <c r="B42" s="50">
        <f ca="1">IFERROR(IF(C42&lt;&gt;"Great Circle", IF($F$2="rad", ATAN(2*SIN(D41)/((1/TAN(C41/2))*SIN(D41+$D$12)+TAN(C41/2)*SIN($D$12-D41))), ATAN(2*SIN(RADIANS(D41))/((1/TAN(RADIANS(C41)/2))*SIN(RADIANS(D41)+RADIANS($D$12))+TAN(RADIANS(C41)/2)*SIN(RADIANS($D$12)-RADIANS(D41))))), 0), "")</f>
        <v>-1.1287494177825814E-3</v>
      </c>
      <c r="C42" s="111"/>
      <c r="D42" s="51">
        <f ca="1">IFERROR(IF(C42&lt;&gt;"Great Circle", IF($F$2="rad", ATAN(2*SIN(B41)/((1/TAN(C41/2))*SIN(B41+$B$12)+TAN(C41/2)*SIN($B$12-B41))), ATAN(2*SIN(RADIANS(B41))/((1/TAN(RADIANS(C41)/2))*SIN(RADIANS(B41)+RADIANS($B$12))+TAN(RADIANS(C41)/2)*SIN(RADIANS($B$12)-RADIANS(B41))))), 0), "")</f>
        <v>-1.1775571734151235E-3</v>
      </c>
      <c r="E42" s="45" t="s">
        <v>77</v>
      </c>
      <c r="H42" s="94"/>
      <c r="I42" s="94"/>
      <c r="L42" s="17"/>
    </row>
    <row r="43" spans="1:20" ht="14.5" customHeight="1" x14ac:dyDescent="0.35">
      <c r="B43" s="70" t="s">
        <v>44</v>
      </c>
      <c r="C43" s="70" t="s">
        <v>43</v>
      </c>
      <c r="D43" s="70" t="s">
        <v>42</v>
      </c>
      <c r="E43"/>
      <c r="H43" s="94"/>
    </row>
    <row r="44" spans="1:20" x14ac:dyDescent="0.35">
      <c r="F44" s="94"/>
      <c r="G44" s="94"/>
      <c r="H44" s="94"/>
    </row>
    <row r="45" spans="1:20" x14ac:dyDescent="0.35">
      <c r="A45" s="17"/>
      <c r="E45"/>
      <c r="F45" s="94"/>
      <c r="G45" s="94"/>
      <c r="H45" s="94"/>
      <c r="L45" s="71"/>
    </row>
    <row r="46" spans="1:20" x14ac:dyDescent="0.35">
      <c r="F46" s="94"/>
      <c r="G46" s="94"/>
    </row>
    <row r="47" spans="1:20" x14ac:dyDescent="0.35">
      <c r="L47" s="17"/>
    </row>
    <row r="48" spans="1:20" x14ac:dyDescent="0.35">
      <c r="L48" s="17"/>
    </row>
    <row r="58" spans="1:8" x14ac:dyDescent="0.35">
      <c r="D58" s="17"/>
    </row>
    <row r="59" spans="1:8" x14ac:dyDescent="0.35">
      <c r="D59" s="17"/>
    </row>
    <row r="60" spans="1:8" x14ac:dyDescent="0.35">
      <c r="A60" s="1"/>
      <c r="H60" s="1"/>
    </row>
    <row r="61" spans="1:8" x14ac:dyDescent="0.35">
      <c r="A61" s="1"/>
      <c r="H61" s="1"/>
    </row>
    <row r="62" spans="1:8" x14ac:dyDescent="0.35">
      <c r="A62" s="1"/>
      <c r="H62" s="1"/>
    </row>
    <row r="63" spans="1:8" x14ac:dyDescent="0.35">
      <c r="A63" s="21"/>
      <c r="H63" s="1"/>
    </row>
    <row r="64" spans="1:8" x14ac:dyDescent="0.35">
      <c r="A64" s="21"/>
      <c r="H64" s="1"/>
    </row>
    <row r="65" spans="1:11" x14ac:dyDescent="0.35">
      <c r="A65" s="21"/>
      <c r="H65" s="1"/>
      <c r="I65" s="1"/>
    </row>
    <row r="66" spans="1:11" x14ac:dyDescent="0.35">
      <c r="A66" s="21"/>
      <c r="H66" s="1"/>
      <c r="I66" s="1"/>
    </row>
    <row r="67" spans="1:11" x14ac:dyDescent="0.35">
      <c r="A67" s="1"/>
      <c r="H67" s="1"/>
      <c r="I67" s="1"/>
    </row>
    <row r="68" spans="1:11" x14ac:dyDescent="0.35">
      <c r="H68" s="1"/>
      <c r="I68" s="1"/>
    </row>
    <row r="69" spans="1:11" x14ac:dyDescent="0.35">
      <c r="H69" s="1"/>
      <c r="I69" s="1"/>
    </row>
    <row r="70" spans="1:11" x14ac:dyDescent="0.35">
      <c r="A70" s="1"/>
      <c r="H70" s="1"/>
      <c r="I70" s="1"/>
    </row>
    <row r="71" spans="1:11" x14ac:dyDescent="0.35">
      <c r="A71" s="1"/>
      <c r="G71" s="1"/>
      <c r="H71" s="1"/>
      <c r="I71" s="1"/>
    </row>
    <row r="72" spans="1:11" x14ac:dyDescent="0.35">
      <c r="A72" s="1"/>
      <c r="G72" s="1"/>
      <c r="H72" s="1"/>
      <c r="I72" s="1"/>
    </row>
    <row r="73" spans="1:11" x14ac:dyDescent="0.35">
      <c r="A73" s="1"/>
      <c r="G73" s="1"/>
      <c r="H73" s="1"/>
      <c r="I73" s="1"/>
    </row>
    <row r="74" spans="1:11" x14ac:dyDescent="0.35">
      <c r="A74" s="1"/>
      <c r="I74" s="1"/>
    </row>
    <row r="75" spans="1:11" x14ac:dyDescent="0.35">
      <c r="A75" s="1"/>
      <c r="I75" s="1"/>
    </row>
    <row r="76" spans="1:11" x14ac:dyDescent="0.35">
      <c r="A76" s="1"/>
      <c r="I76" s="1"/>
    </row>
    <row r="77" spans="1:11" x14ac:dyDescent="0.35">
      <c r="A77" s="1"/>
      <c r="I77" s="1"/>
    </row>
    <row r="78" spans="1:11" x14ac:dyDescent="0.35">
      <c r="A78" s="1"/>
      <c r="I78" s="1"/>
    </row>
    <row r="79" spans="1:11" x14ac:dyDescent="0.35">
      <c r="A79" s="1"/>
      <c r="I79" s="1"/>
      <c r="J79" s="1"/>
      <c r="K79" s="1"/>
    </row>
    <row r="80" spans="1:11" x14ac:dyDescent="0.35">
      <c r="A80" s="1"/>
      <c r="I80" s="1"/>
      <c r="J80" s="1"/>
      <c r="K80" s="1"/>
    </row>
    <row r="81" spans="1:11" x14ac:dyDescent="0.35">
      <c r="A81" s="1"/>
      <c r="I81" s="1"/>
      <c r="J81" s="1"/>
      <c r="K81" s="1"/>
    </row>
    <row r="82" spans="1:11" x14ac:dyDescent="0.35">
      <c r="A82" s="1"/>
      <c r="I82" s="1"/>
      <c r="J82" s="1"/>
      <c r="K82" s="1"/>
    </row>
    <row r="83" spans="1:11" x14ac:dyDescent="0.35">
      <c r="J83" s="1"/>
      <c r="K83" s="1"/>
    </row>
    <row r="84" spans="1:11" x14ac:dyDescent="0.35">
      <c r="J84" s="1"/>
      <c r="K84" s="1"/>
    </row>
    <row r="85" spans="1:11" x14ac:dyDescent="0.35">
      <c r="J85" s="1"/>
      <c r="K85" s="1"/>
    </row>
    <row r="86" spans="1:11" x14ac:dyDescent="0.35">
      <c r="J86" s="1"/>
      <c r="K86" s="1"/>
    </row>
    <row r="87" spans="1:11" x14ac:dyDescent="0.35">
      <c r="J87" s="1"/>
      <c r="K87" s="1"/>
    </row>
    <row r="88" spans="1:11" x14ac:dyDescent="0.35">
      <c r="J88" s="1"/>
      <c r="K88" s="1"/>
    </row>
    <row r="89" spans="1:11" x14ac:dyDescent="0.35">
      <c r="J89" s="1"/>
      <c r="K89" s="1"/>
    </row>
  </sheetData>
  <mergeCells count="19">
    <mergeCell ref="L6:L7"/>
    <mergeCell ref="C29:D29"/>
    <mergeCell ref="G29:H29"/>
    <mergeCell ref="L21:L22"/>
    <mergeCell ref="B32:D32"/>
    <mergeCell ref="L9:L10"/>
    <mergeCell ref="L12:L13"/>
    <mergeCell ref="B16:D16"/>
    <mergeCell ref="F16:H16"/>
    <mergeCell ref="L15:L16"/>
    <mergeCell ref="L24:L25"/>
    <mergeCell ref="B3:D3"/>
    <mergeCell ref="F3:G3"/>
    <mergeCell ref="R2:T2"/>
    <mergeCell ref="R3:T3"/>
    <mergeCell ref="A1:I1"/>
    <mergeCell ref="P3:Q3"/>
    <mergeCell ref="N3:O3"/>
    <mergeCell ref="L1:T1"/>
  </mergeCells>
  <conditionalFormatting sqref="M7 J6 M9 J10">
    <cfRule type="expression" dxfId="54" priority="65">
      <formula>$M$8</formula>
    </cfRule>
  </conditionalFormatting>
  <conditionalFormatting sqref="M13 J12 M15 J16">
    <cfRule type="expression" dxfId="53" priority="64">
      <formula>$M$14</formula>
    </cfRule>
  </conditionalFormatting>
  <conditionalFormatting sqref="M5">
    <cfRule type="expression" dxfId="52" priority="63">
      <formula>OR($M$8, $M$14)</formula>
    </cfRule>
  </conditionalFormatting>
  <conditionalFormatting sqref="B18:H18 B20:H20 B24:H24 B26:H26">
    <cfRule type="expression" dxfId="51" priority="12">
      <formula>ABS(B18)&gt;=$C$23</formula>
    </cfRule>
  </conditionalFormatting>
  <conditionalFormatting sqref="C19 G19 B22:H22 C25 G25">
    <cfRule type="expression" dxfId="50" priority="11">
      <formula>ABS(B19)&gt;=$C$23</formula>
    </cfRule>
  </conditionalFormatting>
  <conditionalFormatting sqref="C20:C24">
    <cfRule type="expression" dxfId="49" priority="223">
      <formula>OR($B$30&gt;=$C$23, $F$30&gt;=$C$23)</formula>
    </cfRule>
  </conditionalFormatting>
  <conditionalFormatting sqref="D19 H19">
    <cfRule type="expression" dxfId="48" priority="8">
      <formula>OR(ABS(B18)&gt;=$C$23, ABS(D24)&gt;=$C$23)</formula>
    </cfRule>
  </conditionalFormatting>
  <conditionalFormatting sqref="B19 F19">
    <cfRule type="expression" dxfId="47" priority="10">
      <formula>OR(ABS(D18)&gt;=$C$23, ABS(B24)&gt;=$C$23)</formula>
    </cfRule>
  </conditionalFormatting>
  <conditionalFormatting sqref="B25 F25">
    <cfRule type="expression" dxfId="46" priority="9">
      <formula>OR(ABS(B20)&gt;=$C$23, ABS(D26)&gt;=$C$23)</formula>
    </cfRule>
  </conditionalFormatting>
  <conditionalFormatting sqref="D25 H25">
    <cfRule type="expression" dxfId="45" priority="7">
      <formula>OR(ABS(B26)&gt;=$C$23, ABS(D20)&gt;=$C$23)</formula>
    </cfRule>
  </conditionalFormatting>
  <conditionalFormatting sqref="P4:Q5">
    <cfRule type="expression" dxfId="44" priority="32">
      <formula>AND($N$5=$P$5, $O$5=$Q$5)</formula>
    </cfRule>
  </conditionalFormatting>
  <conditionalFormatting sqref="B5 T6">
    <cfRule type="expression" dxfId="43" priority="31">
      <formula>$X$6</formula>
    </cfRule>
  </conditionalFormatting>
  <conditionalFormatting sqref="B13 T9">
    <cfRule type="expression" dxfId="42" priority="30">
      <formula>$X$9</formula>
    </cfRule>
  </conditionalFormatting>
  <conditionalFormatting sqref="B8 T12">
    <cfRule type="expression" dxfId="41" priority="29">
      <formula>$X$12</formula>
    </cfRule>
  </conditionalFormatting>
  <conditionalFormatting sqref="D8 T15">
    <cfRule type="expression" dxfId="40" priority="28">
      <formula>$X$15</formula>
    </cfRule>
  </conditionalFormatting>
  <conditionalFormatting sqref="B10 T13">
    <cfRule type="expression" dxfId="39" priority="27">
      <formula>$X$13</formula>
    </cfRule>
  </conditionalFormatting>
  <conditionalFormatting sqref="D5 T7">
    <cfRule type="expression" dxfId="38" priority="26">
      <formula>$X$7</formula>
    </cfRule>
  </conditionalFormatting>
  <conditionalFormatting sqref="D13 T10">
    <cfRule type="expression" dxfId="37" priority="25">
      <formula>$X$10</formula>
    </cfRule>
  </conditionalFormatting>
  <conditionalFormatting sqref="D10 T16">
    <cfRule type="expression" dxfId="36" priority="24">
      <formula>$X$16</formula>
    </cfRule>
  </conditionalFormatting>
  <conditionalFormatting sqref="O18:Q18">
    <cfRule type="expression" dxfId="35" priority="22">
      <formula>OR($X$6:$X$16)</formula>
    </cfRule>
  </conditionalFormatting>
  <conditionalFormatting sqref="F31">
    <cfRule type="expression" dxfId="34" priority="3">
      <formula>$H$30&gt;=1</formula>
    </cfRule>
  </conditionalFormatting>
  <conditionalFormatting sqref="B30:D30">
    <cfRule type="expression" dxfId="33" priority="5">
      <formula>$D$30&gt;=1</formula>
    </cfRule>
  </conditionalFormatting>
  <conditionalFormatting sqref="F30:H30">
    <cfRule type="expression" dxfId="32" priority="4">
      <formula>$H$30&gt;=1</formula>
    </cfRule>
  </conditionalFormatting>
  <dataValidations count="3">
    <dataValidation type="list" allowBlank="1" showInputMessage="1" showErrorMessage="1" sqref="D2 M24 O4 R13:S13 M21 R7:S7 R10:S10 Q4:S4 R16:S16">
      <formula1>"mi, yd, ft, in, ----, km, m, cm, mm"</formula1>
    </dataValidation>
    <dataValidation type="list" allowBlank="1" showInputMessage="1" showErrorMessage="1" sqref="F2 T4">
      <formula1>"deg, rad"</formula1>
    </dataValidation>
    <dataValidation type="list" allowBlank="1" showInputMessage="1" showErrorMessage="1" sqref="H3">
      <formula1>IF(AND($N$5=$P$5, $O$5=$Q$5), $O$2, $O$2:$P$2)</formula1>
    </dataValidation>
  </dataValidations>
  <pageMargins left="0.7" right="0.7" top="0.75" bottom="0.75" header="0.3" footer="0.3"/>
  <pageSetup orientation="portrait" r:id="rId1"/>
  <ignoredErrors>
    <ignoredError sqref="O8 B21 C24 B19 B25 B24 D24 D25 B20 D20 D19 B23 D23 D21 C38 C35:C37 C39:C4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H2" sqref="H2"/>
    </sheetView>
  </sheetViews>
  <sheetFormatPr defaultColWidth="8.81640625" defaultRowHeight="14.5" x14ac:dyDescent="0.35"/>
  <cols>
    <col min="1" max="1" width="7.1796875" style="17" bestFit="1" customWidth="1"/>
    <col min="2" max="3" width="13.453125" style="17" customWidth="1"/>
    <col min="4" max="4" width="13.90625" style="17" bestFit="1" customWidth="1"/>
    <col min="5" max="7" width="13.453125" style="17" customWidth="1"/>
    <col min="8" max="8" width="13.90625" style="17" bestFit="1" customWidth="1"/>
    <col min="9" max="16384" width="8.81640625" style="17"/>
  </cols>
  <sheetData>
    <row r="1" spans="1:9" x14ac:dyDescent="0.35">
      <c r="A1" s="17" t="s">
        <v>4</v>
      </c>
      <c r="B1" s="17" t="s">
        <v>5</v>
      </c>
      <c r="C1" s="17" t="s">
        <v>6</v>
      </c>
      <c r="D1" s="17" t="s">
        <v>3</v>
      </c>
      <c r="E1" s="17" t="s">
        <v>40</v>
      </c>
      <c r="F1" s="17" t="s">
        <v>7</v>
      </c>
    </row>
    <row r="2" spans="1:9" x14ac:dyDescent="0.35">
      <c r="A2" s="17">
        <v>1</v>
      </c>
      <c r="B2" s="17">
        <v>-536616.18299999996</v>
      </c>
      <c r="C2" s="17">
        <v>557523.29200000002</v>
      </c>
      <c r="D2" s="17" t="s">
        <v>99</v>
      </c>
      <c r="E2" s="17" t="s">
        <v>8</v>
      </c>
      <c r="F2" s="17" t="s">
        <v>91</v>
      </c>
    </row>
    <row r="3" spans="1:9" x14ac:dyDescent="0.35">
      <c r="A3" s="17">
        <v>2</v>
      </c>
      <c r="B3" s="17">
        <v>514279.34100000001</v>
      </c>
      <c r="C3" s="17">
        <v>557523.29200000002</v>
      </c>
      <c r="D3" s="17" t="s">
        <v>100</v>
      </c>
      <c r="E3" s="17" t="s">
        <v>99</v>
      </c>
      <c r="F3" s="17" t="s">
        <v>92</v>
      </c>
    </row>
    <row r="4" spans="1:9" x14ac:dyDescent="0.35">
      <c r="A4" s="17">
        <v>3</v>
      </c>
      <c r="B4" s="17">
        <v>514279.34100000001</v>
      </c>
      <c r="C4" s="17">
        <v>-530377.08400000003</v>
      </c>
      <c r="D4" s="17" t="s">
        <v>101</v>
      </c>
      <c r="E4" s="17" t="s">
        <v>102</v>
      </c>
      <c r="F4" s="17" t="s">
        <v>93</v>
      </c>
    </row>
    <row r="5" spans="1:9" x14ac:dyDescent="0.35">
      <c r="A5" s="17">
        <v>4</v>
      </c>
      <c r="B5" s="17">
        <v>-536616.18299999996</v>
      </c>
      <c r="C5" s="17">
        <v>-530377.08400000003</v>
      </c>
      <c r="D5" s="17" t="s">
        <v>103</v>
      </c>
      <c r="E5" s="17" t="s">
        <v>104</v>
      </c>
      <c r="F5" s="17" t="s">
        <v>94</v>
      </c>
    </row>
    <row r="6" spans="1:9" x14ac:dyDescent="0.35">
      <c r="A6" s="17">
        <v>5</v>
      </c>
      <c r="B6" s="17">
        <v>-536616.18299999996</v>
      </c>
      <c r="C6" s="17">
        <v>557523.29200000002</v>
      </c>
      <c r="D6" s="17" t="s">
        <v>80</v>
      </c>
      <c r="E6" s="17" t="s">
        <v>105</v>
      </c>
      <c r="F6" s="17" t="s">
        <v>8</v>
      </c>
    </row>
    <row r="8" spans="1:9" x14ac:dyDescent="0.35">
      <c r="A8" s="92"/>
      <c r="B8" s="92"/>
      <c r="C8" s="92"/>
      <c r="D8" s="92"/>
      <c r="E8" s="92"/>
      <c r="F8" s="92"/>
      <c r="G8" s="92"/>
      <c r="H8" s="92"/>
    </row>
    <row r="9" spans="1:9" x14ac:dyDescent="0.35">
      <c r="A9" s="129" t="s">
        <v>41</v>
      </c>
      <c r="B9" s="105" t="str">
        <f ca="1">IF(MID(CELL("filename",A1),FIND("]",CELL("filename",A1))+1,256)='Projection Distortion'!$R$2, IF('Projection Distortion'!$M6&lt;&gt;"None", 'Projection Distortion'!$M6, "No")&amp;" Tilt", "")</f>
        <v>No Tilt</v>
      </c>
      <c r="C9" s="106"/>
      <c r="D9" s="106"/>
      <c r="E9" s="91"/>
      <c r="F9" s="91"/>
      <c r="G9" s="91"/>
      <c r="H9" s="91"/>
    </row>
    <row r="10" spans="1:9" x14ac:dyDescent="0.35">
      <c r="A10" s="130"/>
      <c r="B10" s="9" t="s">
        <v>81</v>
      </c>
      <c r="C10" s="9" t="s">
        <v>60</v>
      </c>
      <c r="D10" s="112" t="s">
        <v>106</v>
      </c>
      <c r="E10" s="112" t="s">
        <v>61</v>
      </c>
      <c r="F10" s="112">
        <v>84.275984899999997</v>
      </c>
      <c r="G10" s="112" t="s">
        <v>62</v>
      </c>
      <c r="H10" s="112" t="s">
        <v>106</v>
      </c>
    </row>
    <row r="11" spans="1:9" x14ac:dyDescent="0.35">
      <c r="A11" s="131"/>
      <c r="B11" s="88" t="s">
        <v>82</v>
      </c>
      <c r="C11" s="89" t="s">
        <v>60</v>
      </c>
      <c r="D11" s="89" t="s">
        <v>106</v>
      </c>
      <c r="E11" s="89" t="s">
        <v>61</v>
      </c>
      <c r="F11" s="89">
        <v>275.48827799999998</v>
      </c>
      <c r="G11" s="89" t="s">
        <v>62</v>
      </c>
      <c r="H11" s="89" t="s">
        <v>106</v>
      </c>
      <c r="I11" s="87"/>
    </row>
    <row r="12" spans="1:9" x14ac:dyDescent="0.35">
      <c r="A12" s="129" t="s">
        <v>43</v>
      </c>
      <c r="B12" s="105" t="str">
        <f ca="1">IF(MID(CELL("filename",A1),FIND("]",CELL("filename",A1))+1,256)='Projection Distortion'!$R$2, IF('Projection Distortion'!$M10&lt;&gt;"None", 'Projection Distortion'!$M10, "No")&amp;" Tilt", "")</f>
        <v>No Tilt</v>
      </c>
      <c r="C12" s="112"/>
      <c r="D12" s="112"/>
      <c r="E12" s="90"/>
      <c r="F12" s="90"/>
      <c r="G12" s="90"/>
      <c r="H12" s="90"/>
    </row>
    <row r="13" spans="1:9" x14ac:dyDescent="0.35">
      <c r="A13" s="130"/>
      <c r="B13" s="9" t="s">
        <v>81</v>
      </c>
      <c r="C13" s="114" t="s">
        <v>60</v>
      </c>
      <c r="D13" s="112" t="s">
        <v>108</v>
      </c>
      <c r="E13" s="112" t="s">
        <v>61</v>
      </c>
      <c r="F13" s="112">
        <v>85.930560400000005</v>
      </c>
      <c r="G13" s="112" t="s">
        <v>62</v>
      </c>
      <c r="H13" s="112" t="s">
        <v>108</v>
      </c>
    </row>
    <row r="14" spans="1:9" x14ac:dyDescent="0.35">
      <c r="A14" s="131"/>
      <c r="B14" s="88" t="s">
        <v>82</v>
      </c>
      <c r="C14" s="88" t="s">
        <v>60</v>
      </c>
      <c r="D14" s="89" t="s">
        <v>108</v>
      </c>
      <c r="E14" s="112" t="s">
        <v>61</v>
      </c>
      <c r="F14" s="112">
        <v>273.90132549999998</v>
      </c>
      <c r="G14" s="112" t="s">
        <v>62</v>
      </c>
      <c r="H14" s="112" t="s">
        <v>108</v>
      </c>
    </row>
    <row r="15" spans="1:9" x14ac:dyDescent="0.35">
      <c r="A15" s="129" t="s">
        <v>44</v>
      </c>
      <c r="B15" s="105" t="str">
        <f ca="1">IF(MID(CELL("filename",A1),FIND("]",CELL("filename",A1))+1,256)='Projection Distortion'!$R$2, IF('Projection Distortion'!$M12&lt;&gt;"None", 'Projection Distortion'!$M12, "No")&amp;" Tilt", "")</f>
        <v>No Tilt</v>
      </c>
      <c r="C15" s="112"/>
      <c r="D15" s="112"/>
      <c r="E15" s="90"/>
      <c r="F15" s="90"/>
      <c r="G15" s="90"/>
      <c r="H15" s="90"/>
    </row>
    <row r="16" spans="1:9" x14ac:dyDescent="0.35">
      <c r="A16" s="130"/>
      <c r="B16" s="9" t="s">
        <v>83</v>
      </c>
      <c r="C16" s="112" t="s">
        <v>60</v>
      </c>
      <c r="D16" s="112" t="s">
        <v>109</v>
      </c>
      <c r="E16" s="112" t="s">
        <v>61</v>
      </c>
      <c r="F16" s="112">
        <v>174.68687650000001</v>
      </c>
      <c r="G16" s="112" t="s">
        <v>62</v>
      </c>
      <c r="H16" s="17" t="s">
        <v>109</v>
      </c>
    </row>
    <row r="17" spans="1:8" x14ac:dyDescent="0.35">
      <c r="A17" s="131"/>
      <c r="B17" s="88" t="s">
        <v>84</v>
      </c>
      <c r="C17" s="88" t="s">
        <v>60</v>
      </c>
      <c r="D17" s="89" t="s">
        <v>109</v>
      </c>
      <c r="E17" s="89" t="s">
        <v>61</v>
      </c>
      <c r="F17" s="89">
        <v>355.51920630000001</v>
      </c>
      <c r="G17" s="89" t="s">
        <v>62</v>
      </c>
      <c r="H17" s="89" t="s">
        <v>109</v>
      </c>
    </row>
    <row r="18" spans="1:8" x14ac:dyDescent="0.35">
      <c r="A18" s="129" t="s">
        <v>42</v>
      </c>
      <c r="B18" s="105" t="str">
        <f ca="1">IF(MID(CELL("filename",A1),FIND("]",CELL("filename",A1))+1,256)='Projection Distortion'!$R$2, IF('Projection Distortion'!$M16&lt;&gt;"None", 'Projection Distortion'!$M16, "No")&amp;" Tilt", "")</f>
        <v>No Tilt</v>
      </c>
      <c r="C18" s="112"/>
      <c r="D18" s="112"/>
      <c r="E18" s="90"/>
      <c r="F18" s="90"/>
      <c r="G18" s="90"/>
      <c r="H18" s="90"/>
    </row>
    <row r="19" spans="1:8" x14ac:dyDescent="0.35">
      <c r="A19" s="130"/>
      <c r="B19" s="9" t="s">
        <v>83</v>
      </c>
      <c r="C19" s="112" t="s">
        <v>60</v>
      </c>
      <c r="D19" s="112" t="s">
        <v>107</v>
      </c>
      <c r="E19" s="112" t="s">
        <v>61</v>
      </c>
      <c r="F19" s="112">
        <v>185.09441140000001</v>
      </c>
      <c r="G19" s="112" t="s">
        <v>62</v>
      </c>
      <c r="H19" s="112" t="s">
        <v>107</v>
      </c>
    </row>
    <row r="20" spans="1:8" x14ac:dyDescent="0.35">
      <c r="A20" s="131"/>
      <c r="B20" s="88" t="s">
        <v>84</v>
      </c>
      <c r="C20" s="89" t="s">
        <v>60</v>
      </c>
      <c r="D20" s="89" t="s">
        <v>107</v>
      </c>
      <c r="E20" s="89" t="s">
        <v>61</v>
      </c>
      <c r="F20" s="89">
        <v>4.2956294000000002</v>
      </c>
      <c r="G20" s="89" t="s">
        <v>62</v>
      </c>
      <c r="H20" s="89" t="s">
        <v>107</v>
      </c>
    </row>
    <row r="21" spans="1:8" x14ac:dyDescent="0.35">
      <c r="F21" s="109"/>
    </row>
  </sheetData>
  <mergeCells count="4">
    <mergeCell ref="A9:A11"/>
    <mergeCell ref="A12:A14"/>
    <mergeCell ref="A15:A17"/>
    <mergeCell ref="A18:A2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E2" sqref="E2"/>
    </sheetView>
  </sheetViews>
  <sheetFormatPr defaultRowHeight="14.5" x14ac:dyDescent="0.35"/>
  <cols>
    <col min="1" max="1" width="12.7265625" bestFit="1" customWidth="1"/>
    <col min="2" max="3" width="12.453125" bestFit="1" customWidth="1"/>
  </cols>
  <sheetData>
    <row r="1" spans="1:3" x14ac:dyDescent="0.35">
      <c r="A1" s="115" t="s">
        <v>67</v>
      </c>
      <c r="B1" s="115"/>
      <c r="C1" s="115"/>
    </row>
    <row r="3" spans="1:3" x14ac:dyDescent="0.35">
      <c r="A3" s="110" t="s">
        <v>52</v>
      </c>
      <c r="B3" s="135" t="s">
        <v>54</v>
      </c>
      <c r="C3" s="136"/>
    </row>
    <row r="5" spans="1:3" x14ac:dyDescent="0.35">
      <c r="A5" s="132" t="s">
        <v>55</v>
      </c>
      <c r="B5" s="132"/>
      <c r="C5" s="133"/>
    </row>
    <row r="6" spans="1:3" x14ac:dyDescent="0.35">
      <c r="A6" s="110" t="s">
        <v>53</v>
      </c>
      <c r="B6" s="137" t="s">
        <v>114</v>
      </c>
      <c r="C6" s="138"/>
    </row>
    <row r="7" spans="1:3" x14ac:dyDescent="0.35">
      <c r="C7" s="14" t="s">
        <v>51</v>
      </c>
    </row>
    <row r="8" spans="1:3" x14ac:dyDescent="0.35">
      <c r="A8" s="134" t="s">
        <v>37</v>
      </c>
      <c r="B8" s="134"/>
      <c r="C8" s="15">
        <f ca="1">IFERROR(AVERAGE(VLOOKUP("WEST LONGITUDE", INDIRECT("'"&amp;$B$6&amp;"'!A:B"), 2, 0),VLOOKUP("EAST LONGITUDE", INDIRECT("'"&amp;$B$6&amp;"'!A:B"), 2, 0)), "")</f>
        <v>-88.205173755000004</v>
      </c>
    </row>
    <row r="9" spans="1:3" x14ac:dyDescent="0.35">
      <c r="A9" s="134" t="s">
        <v>90</v>
      </c>
      <c r="B9" s="134"/>
      <c r="C9" s="15">
        <f ca="1">IFERROR(AVERAGE(VLOOKUP("NORTH LATITUDE", INDIRECT("'"&amp;$B$6&amp;"'!A:B"), 2, 0),VLOOKUP("SOUTH LATITUDE", INDIRECT("'"&amp;$B$6&amp;"'!A:B"), 2, 0)), "")</f>
        <v>45.133294659999997</v>
      </c>
    </row>
    <row r="11" spans="1:3" x14ac:dyDescent="0.35">
      <c r="A11" s="134" t="s">
        <v>95</v>
      </c>
      <c r="B11" s="134"/>
      <c r="C11" s="103">
        <f ca="1">IF($B$15&lt;&gt;"", MIN(B15:C15)+(MAX(B15:C15)-MIN(B15:C15))/6, "")</f>
        <v>41.813163639999999</v>
      </c>
    </row>
    <row r="12" spans="1:3" x14ac:dyDescent="0.35">
      <c r="A12" s="134" t="s">
        <v>96</v>
      </c>
      <c r="B12" s="134"/>
      <c r="C12" s="103">
        <f ca="1">IF($B$15&lt;&gt;"", MAX(B15:C15)-(MAX(B15:C15)-MIN(B15:C15))/6, "")</f>
        <v>48.453425679999995</v>
      </c>
    </row>
    <row r="13" spans="1:3" x14ac:dyDescent="0.35">
      <c r="B13" s="1"/>
    </row>
    <row r="14" spans="1:3" x14ac:dyDescent="0.35">
      <c r="A14" s="100"/>
      <c r="B14" s="20" t="s">
        <v>97</v>
      </c>
      <c r="C14" s="16" t="str">
        <f>IF(B14="Lower Left", "Upper Right", "Lower Right")</f>
        <v>Lower Right</v>
      </c>
    </row>
    <row r="15" spans="1:3" x14ac:dyDescent="0.35">
      <c r="A15" s="11" t="s">
        <v>39</v>
      </c>
      <c r="B15" s="23">
        <f ca="1">IFERROR(VLOOKUP(IF(B14="Lower Left", "SOUTH", "NORTH")&amp;" LATITUDE", INDIRECT("'"&amp;$B$6&amp;"'!A:B"), 2, 0), "")</f>
        <v>50.113491189999998</v>
      </c>
      <c r="C15" s="16">
        <f ca="1">IFERROR(VLOOKUP(IF(C14="Upper Right", "NORTH", "SOUTH")&amp;" LATITUDE", INDIRECT("'"&amp;$B$6&amp;"'!A:B"), 2, 0), "")</f>
        <v>40.153098129999997</v>
      </c>
    </row>
    <row r="16" spans="1:3" x14ac:dyDescent="0.35">
      <c r="A16" s="10" t="s">
        <v>38</v>
      </c>
      <c r="B16" s="14">
        <f ca="1">IFERROR(VLOOKUP("WEST LONGITUDE", INDIRECT("'"&amp;$B$6&amp;"'!A:B"), 2, 0), "")</f>
        <v>-95.519570630000004</v>
      </c>
      <c r="C16" s="16">
        <f ca="1">IFERROR(VLOOKUP("EAST LONGITUDE", INDIRECT("'"&amp;$B$6&amp;"'!A:B"), 2, 0), "")</f>
        <v>-80.890776880000004</v>
      </c>
    </row>
  </sheetData>
  <mergeCells count="8">
    <mergeCell ref="A1:C1"/>
    <mergeCell ref="A5:C5"/>
    <mergeCell ref="A11:B11"/>
    <mergeCell ref="A12:B12"/>
    <mergeCell ref="A8:B8"/>
    <mergeCell ref="A9:B9"/>
    <mergeCell ref="B3:C3"/>
    <mergeCell ref="B6:C6"/>
  </mergeCells>
  <conditionalFormatting sqref="C8">
    <cfRule type="expression" dxfId="65" priority="391">
      <formula>OR($B$3="Transverse Mercator", $B$3="Lambert Conformal Conic", $B$3="Orthographic")</formula>
    </cfRule>
  </conditionalFormatting>
  <conditionalFormatting sqref="B15">
    <cfRule type="expression" dxfId="64" priority="392">
      <formula>$B$3="Hotine Oblique Mercator"</formula>
    </cfRule>
    <cfRule type="expression" dxfId="63" priority="393">
      <formula>AND($B$3="Orthographic", $B$14="Lower Left")</formula>
    </cfRule>
  </conditionalFormatting>
  <conditionalFormatting sqref="B16">
    <cfRule type="expression" dxfId="62" priority="394">
      <formula>$B$3="Hotine Oblique Mercator"</formula>
    </cfRule>
    <cfRule type="expression" dxfId="61" priority="395">
      <formula>AND($B$3="Orthographic", $B$14="Lower Left")</formula>
    </cfRule>
  </conditionalFormatting>
  <conditionalFormatting sqref="C15">
    <cfRule type="expression" dxfId="60" priority="396">
      <formula>$B$3="Hotine Oblique Mercator"</formula>
    </cfRule>
  </conditionalFormatting>
  <conditionalFormatting sqref="C16">
    <cfRule type="expression" dxfId="59" priority="397">
      <formula>$B$3="Hotine Oblique Mercator"</formula>
    </cfRule>
  </conditionalFormatting>
  <conditionalFormatting sqref="C9">
    <cfRule type="expression" dxfId="58" priority="398">
      <formula>OR($B$3="Transverse Mercator", $B$3="Lambert Conformal Conic", $B$3="Orthographic")</formula>
    </cfRule>
  </conditionalFormatting>
  <conditionalFormatting sqref="B14">
    <cfRule type="expression" dxfId="57" priority="399">
      <formula>OR($B$3="Hotine Oblique Mercator", AND($B$3="Orthographic", $B$14="Lower Left"))</formula>
    </cfRule>
  </conditionalFormatting>
  <conditionalFormatting sqref="C11">
    <cfRule type="expression" dxfId="56" priority="400">
      <formula>$B$3="Lambert Conformal Conic"</formula>
    </cfRule>
  </conditionalFormatting>
  <conditionalFormatting sqref="C12">
    <cfRule type="expression" dxfId="55" priority="401">
      <formula>$B$3="Lambert Conformal Conic"</formula>
    </cfRule>
  </conditionalFormatting>
  <dataValidations count="2">
    <dataValidation type="list" allowBlank="1" showInputMessage="1" showErrorMessage="1" sqref="B14">
      <formula1>"Lower Left, Upper Left"</formula1>
    </dataValidation>
    <dataValidation type="list" allowBlank="1" showInputMessage="1" showErrorMessage="1" sqref="B3:C3">
      <formula1>"Transverse Mercator, Hotine Oblique Mercator, Lambert Conformal Conic, Orthographic"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activeCell="D2" sqref="D2"/>
    </sheetView>
  </sheetViews>
  <sheetFormatPr defaultRowHeight="14.5" x14ac:dyDescent="0.35"/>
  <cols>
    <col min="1" max="1" width="21.08984375" bestFit="1" customWidth="1"/>
    <col min="2" max="2" width="33.6328125" bestFit="1" customWidth="1"/>
  </cols>
  <sheetData>
    <row r="1" spans="1:2" x14ac:dyDescent="0.35">
      <c r="A1" t="s">
        <v>9</v>
      </c>
    </row>
    <row r="2" spans="1:2" x14ac:dyDescent="0.35">
      <c r="A2" t="s">
        <v>10</v>
      </c>
      <c r="B2" t="s">
        <v>112</v>
      </c>
    </row>
    <row r="3" spans="1:2" x14ac:dyDescent="0.35">
      <c r="A3" t="s">
        <v>15</v>
      </c>
      <c r="B3">
        <v>1</v>
      </c>
    </row>
    <row r="4" spans="1:2" x14ac:dyDescent="0.35">
      <c r="A4" t="s">
        <v>16</v>
      </c>
      <c r="B4">
        <v>5</v>
      </c>
    </row>
    <row r="5" spans="1:2" x14ac:dyDescent="0.35">
      <c r="A5" t="s">
        <v>17</v>
      </c>
      <c r="B5">
        <v>0</v>
      </c>
    </row>
    <row r="6" spans="1:2" x14ac:dyDescent="0.35">
      <c r="A6" t="s">
        <v>18</v>
      </c>
      <c r="B6">
        <v>0</v>
      </c>
    </row>
    <row r="7" spans="1:2" x14ac:dyDescent="0.35">
      <c r="A7" t="s">
        <v>19</v>
      </c>
      <c r="B7">
        <v>0</v>
      </c>
    </row>
    <row r="8" spans="1:2" x14ac:dyDescent="0.35">
      <c r="A8" t="s">
        <v>20</v>
      </c>
      <c r="B8">
        <v>-536616.18299999996</v>
      </c>
    </row>
    <row r="9" spans="1:2" x14ac:dyDescent="0.35">
      <c r="A9" t="s">
        <v>21</v>
      </c>
      <c r="B9">
        <v>557523.29200000002</v>
      </c>
    </row>
    <row r="10" spans="1:2" x14ac:dyDescent="0.35">
      <c r="A10" t="s">
        <v>22</v>
      </c>
      <c r="B10">
        <v>514279.34100000001</v>
      </c>
    </row>
    <row r="11" spans="1:2" x14ac:dyDescent="0.35">
      <c r="A11" t="s">
        <v>23</v>
      </c>
      <c r="B11">
        <v>-530377.08400000003</v>
      </c>
    </row>
    <row r="12" spans="1:2" x14ac:dyDescent="0.35">
      <c r="A12" t="s">
        <v>24</v>
      </c>
      <c r="B12">
        <v>-95.519570630000004</v>
      </c>
    </row>
    <row r="13" spans="1:2" x14ac:dyDescent="0.35">
      <c r="A13" t="s">
        <v>25</v>
      </c>
      <c r="B13">
        <v>50.113491189999998</v>
      </c>
    </row>
    <row r="14" spans="1:2" x14ac:dyDescent="0.35">
      <c r="A14" t="s">
        <v>26</v>
      </c>
      <c r="B14">
        <v>-80.890776880000004</v>
      </c>
    </row>
    <row r="15" spans="1:2" x14ac:dyDescent="0.35">
      <c r="A15" t="s">
        <v>27</v>
      </c>
      <c r="B15">
        <v>40.153098129999997</v>
      </c>
    </row>
    <row r="16" spans="1:2" x14ac:dyDescent="0.35">
      <c r="A16" t="s">
        <v>28</v>
      </c>
      <c r="B16">
        <v>-95.519570630000004</v>
      </c>
    </row>
    <row r="17" spans="1:2" x14ac:dyDescent="0.35">
      <c r="A17" t="s">
        <v>29</v>
      </c>
      <c r="B17">
        <v>49.872549079999999</v>
      </c>
    </row>
    <row r="18" spans="1:2" x14ac:dyDescent="0.35">
      <c r="A18" t="s">
        <v>30</v>
      </c>
      <c r="B18">
        <v>-80.890776880000004</v>
      </c>
    </row>
    <row r="19" spans="1:2" x14ac:dyDescent="0.35">
      <c r="A19" t="s">
        <v>31</v>
      </c>
      <c r="B19">
        <v>49.892101349999997</v>
      </c>
    </row>
    <row r="20" spans="1:2" x14ac:dyDescent="0.35">
      <c r="A20" t="s">
        <v>32</v>
      </c>
      <c r="B20">
        <v>-82.015752109999994</v>
      </c>
    </row>
    <row r="21" spans="1:2" x14ac:dyDescent="0.35">
      <c r="A21" t="s">
        <v>33</v>
      </c>
      <c r="B21">
        <v>40.16703236</v>
      </c>
    </row>
    <row r="22" spans="1:2" x14ac:dyDescent="0.35">
      <c r="A22" t="s">
        <v>34</v>
      </c>
      <c r="B22">
        <v>-94.3470023</v>
      </c>
    </row>
    <row r="23" spans="1:2" x14ac:dyDescent="0.35">
      <c r="A23" t="s">
        <v>35</v>
      </c>
      <c r="B23">
        <v>40.153098129999997</v>
      </c>
    </row>
    <row r="24" spans="1:2" x14ac:dyDescent="0.35">
      <c r="A24" t="s">
        <v>11</v>
      </c>
      <c r="B24" t="s">
        <v>58</v>
      </c>
    </row>
    <row r="25" spans="1:2" x14ac:dyDescent="0.35">
      <c r="A25" t="s">
        <v>13</v>
      </c>
      <c r="B25" t="s">
        <v>12</v>
      </c>
    </row>
    <row r="26" spans="1:2" x14ac:dyDescent="0.35">
      <c r="A26" t="s">
        <v>14</v>
      </c>
      <c r="B26" t="s">
        <v>59</v>
      </c>
    </row>
    <row r="27" spans="1:2" x14ac:dyDescent="0.35">
      <c r="A27" t="s">
        <v>36</v>
      </c>
      <c r="B27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Projection Distortion</vt:lpstr>
      <vt:lpstr>Map Perimeter Measurements</vt:lpstr>
      <vt:lpstr>Projection Parameters</vt:lpstr>
      <vt:lpstr>Map Perimeter Metadata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Zagger</dc:creator>
  <cp:lastModifiedBy>Brian Zager</cp:lastModifiedBy>
  <dcterms:created xsi:type="dcterms:W3CDTF">2014-04-14T12:51:41Z</dcterms:created>
  <dcterms:modified xsi:type="dcterms:W3CDTF">2014-11-27T21:00:58Z</dcterms:modified>
</cp:coreProperties>
</file>